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drawings/drawing2.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msworld.zg.ch\Private$\FDS\LOTH\Documents\OECD-Mindeststeuer\"/>
    </mc:Choice>
  </mc:AlternateContent>
  <xr:revisionPtr revIDLastSave="0" documentId="8_{3C3AD8F1-4A28-4403-8082-117F4FDC595E}" xr6:coauthVersionLast="47" xr6:coauthVersionMax="47" xr10:uidLastSave="{00000000-0000-0000-0000-000000000000}"/>
  <workbookProtection workbookAlgorithmName="SHA-512" workbookHashValue="VT80k8T5fJlI/mZ9tmla0aKtbQHFPcd2y+sJMFp7BzQhWPZ1gkd6kSOixeBMwtawPjP+J117fZAlLqVOJGbjPA==" workbookSaltValue="is2U6TsevLuxJJfKYcYGnQ==" workbookSpinCount="100000" lockStructure="1"/>
  <bookViews>
    <workbookView xWindow="-96" yWindow="0" windowWidth="20832" windowHeight="16656" xr2:uid="{4AA420F3-5AB3-428B-9AD9-F479CAE6ED95}"/>
  </bookViews>
  <sheets>
    <sheet name="Gesuch" sheetId="10" r:id="rId1"/>
    <sheet name="Prüfer" sheetId="16" state="hidden" r:id="rId2"/>
    <sheet name="Ablehnung" sheetId="19" state="hidden" r:id="rId3"/>
    <sheet name="Sistierung" sheetId="22" state="hidden" r:id="rId4"/>
    <sheet name="Gutsprache" sheetId="23" state="hidden" r:id="rId5"/>
    <sheet name="Ausstände" sheetId="29" state="hidden" r:id="rId6"/>
    <sheet name="Datensatz" sheetId="15" state="hidden" r:id="rId7"/>
    <sheet name="Referenzen" sheetId="12" state="hidden" r:id="rId8"/>
  </sheets>
  <definedNames>
    <definedName name="_xlnm.Print_Area" localSheetId="0">Gesuch!$A$1:$H$188</definedName>
    <definedName name="_xlnm.Print_Area" localSheetId="1">Prüfer!$A$1:$M$191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5" i="16" l="1"/>
  <c r="E2" i="15"/>
  <c r="E10" i="16" s="1"/>
  <c r="B29" i="16"/>
  <c r="B26" i="10"/>
  <c r="R26" i="10" s="1"/>
  <c r="A139" i="16"/>
  <c r="Q85" i="10"/>
  <c r="Q33" i="10"/>
  <c r="R33" i="10" s="1"/>
  <c r="E119" i="10"/>
  <c r="A30" i="10"/>
  <c r="CA3" i="15"/>
  <c r="B169" i="16"/>
  <c r="BY3" i="15"/>
  <c r="B167" i="16"/>
  <c r="B170" i="16"/>
  <c r="CB3" i="15" s="1"/>
  <c r="Q168" i="10"/>
  <c r="R168" i="10" s="1"/>
  <c r="M3" i="15"/>
  <c r="D19" i="16"/>
  <c r="V186" i="16"/>
  <c r="V6" i="16"/>
  <c r="V7" i="16"/>
  <c r="V5" i="16"/>
  <c r="AC3" i="15"/>
  <c r="AB3" i="15"/>
  <c r="AA3" i="15"/>
  <c r="Z3" i="15"/>
  <c r="Y3" i="15"/>
  <c r="D51" i="16"/>
  <c r="D52" i="16"/>
  <c r="D53" i="16"/>
  <c r="D54" i="16"/>
  <c r="D55" i="16"/>
  <c r="B53" i="16"/>
  <c r="R104" i="10"/>
  <c r="R103" i="10"/>
  <c r="R91" i="10"/>
  <c r="Q91" i="10"/>
  <c r="Q104" i="10"/>
  <c r="Q103" i="10"/>
  <c r="AZ2" i="15"/>
  <c r="AY2" i="15"/>
  <c r="AT2" i="15"/>
  <c r="R7" i="10"/>
  <c r="Q7" i="10"/>
  <c r="R13" i="10"/>
  <c r="Q13" i="10"/>
  <c r="I2" i="15"/>
  <c r="Q164" i="10"/>
  <c r="R164" i="10" s="1"/>
  <c r="Q173" i="10"/>
  <c r="R173" i="10" s="1"/>
  <c r="Q172" i="10"/>
  <c r="R172" i="10" s="1"/>
  <c r="Q171" i="10"/>
  <c r="R171" i="10" s="1"/>
  <c r="Q166" i="10"/>
  <c r="R166" i="10" s="1"/>
  <c r="Q163" i="10"/>
  <c r="R163" i="10" s="1"/>
  <c r="Q162" i="10"/>
  <c r="R162" i="10" s="1"/>
  <c r="A38" i="16"/>
  <c r="A35" i="16"/>
  <c r="T2" i="15"/>
  <c r="T3" i="15" s="1"/>
  <c r="E29" i="16"/>
  <c r="G2" i="15"/>
  <c r="G3" i="15" s="1"/>
  <c r="E13" i="16"/>
  <c r="R10" i="10"/>
  <c r="Q10" i="10"/>
  <c r="R9" i="10"/>
  <c r="Q26" i="10"/>
  <c r="B25" i="10"/>
  <c r="B150" i="10" l="1"/>
  <c r="L170" i="16"/>
  <c r="U2" i="15"/>
  <c r="U3" i="15" s="1"/>
  <c r="S2" i="15"/>
  <c r="S3" i="15" s="1"/>
  <c r="R2" i="15"/>
  <c r="R3" i="15" s="1"/>
  <c r="E12" i="16"/>
  <c r="BK2" i="15"/>
  <c r="BK3" i="15" s="1"/>
  <c r="B101" i="16"/>
  <c r="B98" i="16"/>
  <c r="B127" i="16"/>
  <c r="Q125" i="10"/>
  <c r="R125" i="10" s="1"/>
  <c r="B145" i="16"/>
  <c r="B144" i="16"/>
  <c r="G143" i="10"/>
  <c r="H145" i="16" s="1"/>
  <c r="G142" i="10"/>
  <c r="H144" i="16" s="1"/>
  <c r="L2" i="15"/>
  <c r="L3" i="15" s="1"/>
  <c r="E19" i="16"/>
  <c r="Q116" i="10"/>
  <c r="Q115" i="10"/>
  <c r="Q112" i="10"/>
  <c r="Q111" i="10"/>
  <c r="Q108" i="10"/>
  <c r="Q107" i="10"/>
  <c r="Q102" i="10"/>
  <c r="Q101" i="10"/>
  <c r="Q98" i="10"/>
  <c r="Q95" i="10"/>
  <c r="W2" i="15"/>
  <c r="V2" i="15"/>
  <c r="Q86" i="10" s="1"/>
  <c r="E28" i="16"/>
  <c r="E30" i="16"/>
  <c r="E27" i="16"/>
  <c r="F89" i="16"/>
  <c r="L145" i="16" s="1"/>
  <c r="F88" i="16"/>
  <c r="L144" i="16" s="1"/>
  <c r="AS2" i="15"/>
  <c r="AS3" i="15" s="1"/>
  <c r="AR2" i="15"/>
  <c r="AR3" i="15" s="1"/>
  <c r="Q81" i="10"/>
  <c r="Q78" i="10"/>
  <c r="R78" i="10" s="1"/>
  <c r="Q75" i="10"/>
  <c r="Q39" i="10"/>
  <c r="R39" i="10" s="1"/>
  <c r="K39" i="16"/>
  <c r="I39" i="16"/>
  <c r="G39" i="16"/>
  <c r="D39" i="16"/>
  <c r="B39" i="16"/>
  <c r="N36" i="10"/>
  <c r="Q84" i="10" s="1"/>
  <c r="M36" i="10"/>
  <c r="K29" i="10"/>
  <c r="Q29" i="10" s="1"/>
  <c r="R29" i="10" s="1"/>
  <c r="R27" i="10"/>
  <c r="R25" i="10"/>
  <c r="R24" i="10"/>
  <c r="R16" i="10"/>
  <c r="Q16" i="10"/>
  <c r="Q27" i="10"/>
  <c r="Q25" i="10"/>
  <c r="Q24" i="10"/>
  <c r="D32" i="16" l="1"/>
  <c r="R86" i="10"/>
  <c r="I32" i="16"/>
  <c r="A33" i="16" s="1"/>
  <c r="R84" i="10"/>
  <c r="R85" i="10"/>
  <c r="B17" i="22"/>
  <c r="AY3" i="15"/>
  <c r="B85" i="16"/>
  <c r="D182" i="10"/>
  <c r="D183" i="10"/>
  <c r="D184" i="10"/>
  <c r="D181" i="10"/>
  <c r="G112" i="10"/>
  <c r="G111" i="10"/>
  <c r="C15" i="10"/>
  <c r="C14" i="10"/>
  <c r="E120" i="10"/>
  <c r="E121" i="10" s="1"/>
  <c r="E122" i="10" s="1"/>
  <c r="Q122" i="10" s="1"/>
  <c r="R122" i="10" s="1"/>
  <c r="O2" i="15"/>
  <c r="V3" i="15"/>
  <c r="W3" i="15"/>
  <c r="CE3" i="15"/>
  <c r="CD3" i="15"/>
  <c r="CC3" i="15"/>
  <c r="BZ3" i="15"/>
  <c r="BX3" i="15"/>
  <c r="BW3" i="15"/>
  <c r="BV3" i="15"/>
  <c r="L175" i="16"/>
  <c r="L174" i="16"/>
  <c r="L173" i="16"/>
  <c r="B175" i="16"/>
  <c r="B174" i="16"/>
  <c r="B173" i="16"/>
  <c r="L168" i="16"/>
  <c r="B168" i="16"/>
  <c r="B25" i="23"/>
  <c r="O186" i="16"/>
  <c r="CL3" i="15" s="1"/>
  <c r="O132" i="10"/>
  <c r="O131" i="10"/>
  <c r="O130" i="10"/>
  <c r="O129" i="10"/>
  <c r="E16" i="16"/>
  <c r="B186" i="16"/>
  <c r="CK3" i="15"/>
  <c r="CJ3" i="15"/>
  <c r="J183" i="16"/>
  <c r="V185" i="16" s="1"/>
  <c r="B183" i="16"/>
  <c r="V184" i="16" s="1"/>
  <c r="C3" i="15"/>
  <c r="C2" i="15" s="1"/>
  <c r="B3" i="15"/>
  <c r="B2" i="15" s="1"/>
  <c r="A2" i="15" s="1"/>
  <c r="R21" i="10"/>
  <c r="R20" i="10"/>
  <c r="R19" i="10"/>
  <c r="R18" i="10"/>
  <c r="R17" i="10"/>
  <c r="R15" i="10"/>
  <c r="R14" i="10"/>
  <c r="R6" i="10"/>
  <c r="Q9" i="10"/>
  <c r="Q14" i="10"/>
  <c r="Q15" i="10"/>
  <c r="Q17" i="10"/>
  <c r="Q18" i="10"/>
  <c r="Q19" i="10"/>
  <c r="Q20" i="10"/>
  <c r="Q21" i="10"/>
  <c r="Q181" i="10"/>
  <c r="R181" i="10" s="1"/>
  <c r="Q182" i="10"/>
  <c r="Q183" i="10"/>
  <c r="R183" i="10" s="1"/>
  <c r="Q184" i="10"/>
  <c r="R184" i="10" s="1"/>
  <c r="Q6" i="10"/>
  <c r="E21" i="16"/>
  <c r="L182" i="16"/>
  <c r="L166" i="16"/>
  <c r="L165" i="16"/>
  <c r="L164" i="16"/>
  <c r="B166" i="16"/>
  <c r="B164" i="16"/>
  <c r="A188" i="16" l="1"/>
  <c r="R182" i="10"/>
  <c r="R132" i="10"/>
  <c r="Q132" i="10"/>
  <c r="R129" i="10"/>
  <c r="Q129" i="10"/>
  <c r="R130" i="10"/>
  <c r="Q130" i="10"/>
  <c r="R131" i="10"/>
  <c r="Q131" i="10"/>
  <c r="H2" i="15"/>
  <c r="L157" i="16"/>
  <c r="L151" i="16"/>
  <c r="J147" i="16"/>
  <c r="J143" i="16"/>
  <c r="L142" i="16"/>
  <c r="E107" i="16"/>
  <c r="C131" i="16"/>
  <c r="AT3" i="15"/>
  <c r="A3" i="15"/>
  <c r="B19" i="29" s="1"/>
  <c r="BO3" i="15"/>
  <c r="BN3" i="15"/>
  <c r="BM3" i="15"/>
  <c r="BL3" i="15"/>
  <c r="AM3" i="15"/>
  <c r="AL3" i="15"/>
  <c r="AK3" i="15"/>
  <c r="AJ3" i="15"/>
  <c r="AF3" i="15"/>
  <c r="AE3" i="15"/>
  <c r="L132" i="16"/>
  <c r="L133" i="16"/>
  <c r="L134" i="16"/>
  <c r="L135" i="16"/>
  <c r="L131" i="16"/>
  <c r="B134" i="16"/>
  <c r="B133" i="16"/>
  <c r="B132" i="16"/>
  <c r="B131" i="16"/>
  <c r="AN3" i="15"/>
  <c r="B55" i="16"/>
  <c r="AI3" i="15" s="1"/>
  <c r="B54" i="16"/>
  <c r="AH3" i="15" s="1"/>
  <c r="AG3" i="15"/>
  <c r="B52" i="16"/>
  <c r="B51" i="16"/>
  <c r="B136" i="16"/>
  <c r="F124" i="16"/>
  <c r="F125" i="16"/>
  <c r="E119" i="16"/>
  <c r="E118" i="16"/>
  <c r="E115" i="16"/>
  <c r="E114" i="16"/>
  <c r="K122" i="16" s="1"/>
  <c r="E111" i="16"/>
  <c r="E110" i="16"/>
  <c r="E105" i="16"/>
  <c r="E104" i="16"/>
  <c r="O95" i="10"/>
  <c r="N95" i="10"/>
  <c r="N75" i="10"/>
  <c r="B82" i="16"/>
  <c r="B79" i="16"/>
  <c r="S79" i="16" s="1"/>
  <c r="B43" i="16"/>
  <c r="L36" i="10"/>
  <c r="K36" i="10"/>
  <c r="J36" i="10"/>
  <c r="CI2" i="15"/>
  <c r="E181" i="16" s="1"/>
  <c r="CI3" i="15" s="1"/>
  <c r="CH2" i="15"/>
  <c r="E180" i="16" s="1"/>
  <c r="CG2" i="15"/>
  <c r="E179" i="16" s="1"/>
  <c r="CG3" i="15" s="1"/>
  <c r="CF2" i="15"/>
  <c r="E178" i="16" s="1"/>
  <c r="CF3" i="15" s="1"/>
  <c r="BP2" i="15"/>
  <c r="BF2" i="15"/>
  <c r="BF3" i="15" s="1"/>
  <c r="BE2" i="15"/>
  <c r="BE3" i="15" s="1"/>
  <c r="BD2" i="15"/>
  <c r="BD3" i="15" s="1"/>
  <c r="BC2" i="15"/>
  <c r="BC3" i="15" s="1"/>
  <c r="BB2" i="15"/>
  <c r="BB3" i="15" s="1"/>
  <c r="BA2" i="15"/>
  <c r="BA3" i="15" s="1"/>
  <c r="AX2" i="15"/>
  <c r="AX3" i="15" s="1"/>
  <c r="AW2" i="15"/>
  <c r="AW3" i="15" s="1"/>
  <c r="AV2" i="15"/>
  <c r="AU2" i="15"/>
  <c r="AU3" i="15" s="1"/>
  <c r="AQ2" i="15"/>
  <c r="AQ3" i="15" s="1"/>
  <c r="AP2" i="15"/>
  <c r="AP3" i="15" s="1"/>
  <c r="AO2" i="15"/>
  <c r="AO3" i="15" s="1"/>
  <c r="AD2" i="15"/>
  <c r="AD3" i="15" s="1"/>
  <c r="X2" i="15"/>
  <c r="X3" i="15" s="1"/>
  <c r="E3" i="15"/>
  <c r="B23" i="29" s="1"/>
  <c r="AV3" i="15" l="1"/>
  <c r="Q47" i="10"/>
  <c r="B4" i="22"/>
  <c r="G3" i="10"/>
  <c r="O36" i="10"/>
  <c r="Q36" i="10" s="1"/>
  <c r="K118" i="16"/>
  <c r="K119" i="16" s="1"/>
  <c r="B15" i="22"/>
  <c r="B4" i="23"/>
  <c r="B4" i="19"/>
  <c r="B20" i="23"/>
  <c r="BP3" i="15"/>
  <c r="O133" i="10"/>
  <c r="Q133" i="10" s="1"/>
  <c r="CH3" i="15"/>
  <c r="A182" i="16"/>
  <c r="J122" i="16"/>
  <c r="BG3" i="15" s="1"/>
  <c r="J123" i="16"/>
  <c r="J124" i="16" s="1"/>
  <c r="J125" i="16" s="1"/>
  <c r="L150" i="16" s="1"/>
  <c r="L152" i="16" s="1"/>
  <c r="AZ3" i="15"/>
  <c r="C135" i="16" s="1"/>
  <c r="G133" i="10"/>
  <c r="G134" i="10" s="1"/>
  <c r="F129" i="10"/>
  <c r="E106" i="16"/>
  <c r="E95" i="16"/>
  <c r="E36" i="16"/>
  <c r="A5" i="16"/>
  <c r="E17" i="16"/>
  <c r="E18" i="16"/>
  <c r="E20" i="16"/>
  <c r="E22" i="16"/>
  <c r="O3" i="15" s="1"/>
  <c r="E23" i="16"/>
  <c r="E24" i="16"/>
  <c r="E9" i="16"/>
  <c r="L143" i="16"/>
  <c r="L146" i="16" s="1"/>
  <c r="L147" i="16" s="1"/>
  <c r="N124" i="16"/>
  <c r="K123" i="16"/>
  <c r="N108" i="16"/>
  <c r="Q2" i="15"/>
  <c r="Q3" i="15" s="1"/>
  <c r="P2" i="15"/>
  <c r="P3" i="15" s="1"/>
  <c r="N2" i="15"/>
  <c r="N3" i="15" s="1"/>
  <c r="K2" i="15"/>
  <c r="K3" i="15" s="1"/>
  <c r="J2" i="15"/>
  <c r="J3" i="15" s="1"/>
  <c r="I3" i="15"/>
  <c r="H3" i="15" s="1"/>
  <c r="F2" i="15"/>
  <c r="F3" i="15" s="1"/>
  <c r="B24" i="29" s="1"/>
  <c r="D2" i="15"/>
  <c r="D3" i="15" s="1"/>
  <c r="A185" i="10"/>
  <c r="I105" i="10"/>
  <c r="F119" i="10"/>
  <c r="F115" i="10"/>
  <c r="B22" i="29" l="1"/>
  <c r="B15" i="29"/>
  <c r="R81" i="10"/>
  <c r="R133" i="10"/>
  <c r="B23" i="23"/>
  <c r="B1" i="19"/>
  <c r="B1" i="22"/>
  <c r="B1" i="23"/>
  <c r="B7" i="19"/>
  <c r="B7" i="22"/>
  <c r="B7" i="23"/>
  <c r="R75" i="10"/>
  <c r="R47" i="10"/>
  <c r="R36" i="10"/>
  <c r="BG2" i="15"/>
  <c r="E122" i="16"/>
  <c r="BH2" i="15"/>
  <c r="E123" i="16"/>
  <c r="F116" i="10"/>
  <c r="F119" i="16" s="1"/>
  <c r="F118" i="16"/>
  <c r="F120" i="10"/>
  <c r="F123" i="16" s="1"/>
  <c r="F122" i="16"/>
  <c r="BH3" i="15"/>
  <c r="BQ3" i="15"/>
  <c r="I121" i="10"/>
  <c r="E124" i="16"/>
  <c r="BR3" i="15" l="1"/>
  <c r="L156" i="16"/>
  <c r="L158" i="16" s="1"/>
  <c r="BI3" i="15"/>
  <c r="BI2" i="15"/>
  <c r="A137" i="10"/>
  <c r="G140" i="10"/>
  <c r="H142" i="16" s="1"/>
  <c r="G141" i="10" l="1"/>
  <c r="H143" i="16" s="1"/>
  <c r="R116" i="10"/>
  <c r="R115" i="10"/>
  <c r="E125" i="16"/>
  <c r="R108" i="10"/>
  <c r="R101" i="10"/>
  <c r="R112" i="10"/>
  <c r="R111" i="10"/>
  <c r="R107" i="10"/>
  <c r="R102" i="10"/>
  <c r="R98" i="10"/>
  <c r="R95" i="10"/>
  <c r="BJ3" i="15"/>
  <c r="G148" i="10"/>
  <c r="G150" i="10" s="1"/>
  <c r="BJ2" i="15"/>
  <c r="A191" i="10" l="1" a="1"/>
  <c r="A191" i="10" s="1"/>
  <c r="B11" i="22" s="1"/>
  <c r="H150" i="16"/>
  <c r="G144" i="10"/>
  <c r="BQ2" i="15" s="1"/>
  <c r="A190" i="10"/>
  <c r="BS3" i="15"/>
  <c r="H146" i="16" l="1"/>
  <c r="G145" i="10"/>
  <c r="H147" i="16" s="1"/>
  <c r="BS2" i="15"/>
  <c r="H152" i="16"/>
  <c r="A3" i="16" a="1"/>
  <c r="A3" i="16" s="1"/>
  <c r="A2" i="16"/>
  <c r="A189" i="10"/>
  <c r="BU3" i="15"/>
  <c r="B9" i="23" s="1"/>
  <c r="BT3" i="15"/>
  <c r="G154" i="10" l="1"/>
  <c r="H156" i="16" s="1"/>
  <c r="BR2" i="15"/>
  <c r="BT2" i="15" l="1"/>
  <c r="G156" i="10"/>
  <c r="M186" i="16" s="1"/>
  <c r="H158" i="16" l="1"/>
  <c r="BU2"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<sst xmlns="http://schemas.openxmlformats.org/spreadsheetml/2006/main" count="798" uniqueCount="467">
  <si>
    <t>Aufwandseitige Förderung</t>
  </si>
  <si>
    <t>Name des Unternehmens</t>
  </si>
  <si>
    <t>Sitz</t>
  </si>
  <si>
    <t>Ertragsseitige Förderung</t>
  </si>
  <si>
    <t>Grundlagenforschung</t>
  </si>
  <si>
    <t>Industrielle Forschung</t>
  </si>
  <si>
    <t>Experimentelle Entwicklung</t>
  </si>
  <si>
    <t>Auf welchen originären, nicht offensichtlichen Konzepten und Hypothesen beruhen die Forschungs- und Entwicklungsaktivitäten?</t>
  </si>
  <si>
    <t>Zusammenfassung der systematischen, untersuchenden oder experimentellen qualifizierenden Tätigkeiten im Zusammenhang mit dem Projekt, einschließlich des Standorts der Tätigkeiten. Die angewandte Methode und Einzelheiten zu den Versuchs- oder Untersuchungsreihen, die zur Prüfung der Hypothese durchgeführt wurden, müssen angegeben werden</t>
  </si>
  <si>
    <t>Inwiefern sind die Erkenntnisse oder Ergebnisse der Forschungs- und Entwicklungsaktivitäten reproduzier- oder verwertbar?</t>
  </si>
  <si>
    <t>Sofern die Aktivitäten auf die Entwicklung eines Produkts für den internen Gebrauch abzielten (nicht als Teil eines Produkts für den Verkauf an Kunden), wie sah der alternative Aktionsplan aus, wenn die Aktivitäten nicht erfolgreich waren?</t>
  </si>
  <si>
    <t>Inwiefern sind die Ergebnisse ungewiss?</t>
  </si>
  <si>
    <t>Nennung (auf Basis der Stellenbeschriebe) der im Bereich F&amp;E&amp;I tätigen Arbeitnehmer (Name, Funktion, Qualifikation, Erfahrung, Arbeitspensum, Arbeitsort und Personalallokation an den einzelnen Projekten im Bereich F&amp;E&amp;I)</t>
  </si>
  <si>
    <t>Beschreibung des Systems zur Erfassung der Arbeit an qualifizierten und nicht qualifizierten Projekten, aus dem zumindest hervorgeht, wann die Mitarbeiter ihre Arbeit erfassen und wer sie in dieser Hinsicht überprüft und wie das qualifizierte Element des Projekts ermittelt wird</t>
  </si>
  <si>
    <t>Forschungs- oder Projektbeschrieb, inkl. Zeitrahmen und tatsächlicher Lohnaufaufwand</t>
  </si>
  <si>
    <t>Steueridentifikationsnummer</t>
  </si>
  <si>
    <t>Anrede</t>
  </si>
  <si>
    <t>Name</t>
  </si>
  <si>
    <t>Vorname</t>
  </si>
  <si>
    <t>Strasse, Nr.</t>
  </si>
  <si>
    <t>E-Mail</t>
  </si>
  <si>
    <t>Telefon-Nr.</t>
  </si>
  <si>
    <t>Kontaktinformationen</t>
  </si>
  <si>
    <t>UID</t>
  </si>
  <si>
    <t>Zahl mit Spezialformat</t>
  </si>
  <si>
    <t>Welche spezifische wissenschaftliche oder technologische Unsicherheit, soll damit behoben werden?</t>
  </si>
  <si>
    <t>Text</t>
  </si>
  <si>
    <t>Idee</t>
  </si>
  <si>
    <t>Technologieformulierung</t>
  </si>
  <si>
    <t>Angewandte Forschung</t>
  </si>
  <si>
    <t>Prototyp in kleinem Massstab</t>
  </si>
  <si>
    <t>Prototyp in grossem Massstab</t>
  </si>
  <si>
    <t>Prototypsystem</t>
  </si>
  <si>
    <t>Erstes kommerzielles System</t>
  </si>
  <si>
    <t>Demonstrationssystem</t>
  </si>
  <si>
    <t>Vollständige kommerzielle Anwendung</t>
  </si>
  <si>
    <t>Betrag</t>
  </si>
  <si>
    <t>Fehler wenn leer</t>
  </si>
  <si>
    <t>Allgemeine Angaben</t>
  </si>
  <si>
    <r>
      <t>Förderung der CO</t>
    </r>
    <r>
      <rPr>
        <b/>
        <vertAlign val="subscript"/>
        <sz val="10"/>
        <color theme="1"/>
        <rFont val="Calibri"/>
        <family val="2"/>
        <scheme val="minor"/>
      </rPr>
      <t>2</t>
    </r>
    <r>
      <rPr>
        <b/>
        <sz val="10"/>
        <color theme="1"/>
        <rFont val="Calibri"/>
        <family val="2"/>
        <scheme val="minor"/>
      </rPr>
      <t>-Reduktion</t>
    </r>
  </si>
  <si>
    <t>Jahr</t>
  </si>
  <si>
    <t>Förderungsfähiger Personalaufwand</t>
  </si>
  <si>
    <t>Total förderungsfähiger Aufwand</t>
  </si>
  <si>
    <t>Zuschlag für Infrastrukturkosten</t>
  </si>
  <si>
    <t>Förderung aufwandseitige Forschung</t>
  </si>
  <si>
    <r>
      <t>Eingesparte Tonnen CO</t>
    </r>
    <r>
      <rPr>
        <vertAlign val="subscript"/>
        <sz val="10"/>
        <color theme="1"/>
        <rFont val="Calibri"/>
        <family val="2"/>
        <scheme val="minor"/>
      </rPr>
      <t>2</t>
    </r>
    <r>
      <rPr>
        <sz val="10"/>
        <color theme="1"/>
        <rFont val="Calibri"/>
        <family val="2"/>
        <scheme val="minor"/>
      </rPr>
      <t xml:space="preserve"> (mindestens 50'000)</t>
    </r>
  </si>
  <si>
    <t>Theoretischer Förderbetrag über alles</t>
  </si>
  <si>
    <t>Ermittlung des Förderanspruchs</t>
  </si>
  <si>
    <r>
      <t>Betrag pro Tonne CO</t>
    </r>
    <r>
      <rPr>
        <vertAlign val="subscript"/>
        <sz val="10"/>
        <color theme="1"/>
        <rFont val="Calibri"/>
        <family val="2"/>
        <scheme val="minor"/>
      </rPr>
      <t>2</t>
    </r>
    <r>
      <rPr>
        <sz val="10"/>
        <color theme="1"/>
        <rFont val="Calibri"/>
        <family val="2"/>
        <scheme val="minor"/>
      </rPr>
      <t xml:space="preserve"> in CHF</t>
    </r>
  </si>
  <si>
    <t>Förderbeiträge werden nur ausbezahlt, wenn sie höher liegen als</t>
  </si>
  <si>
    <t>*</t>
  </si>
  <si>
    <t>Falls die Gesamtsumme aller individuellen Förderansprüche über dem vom Regierungsrat festgelegten Jahresförderbetrag liegt, werden alle individuellen Förderansprüche entsprechend prozentual gekürzt.</t>
  </si>
  <si>
    <t>Total individueller Förderanspruch mit Vorbehalt*</t>
  </si>
  <si>
    <t>(Identifikation von Liqidationen)</t>
  </si>
  <si>
    <t>Text mit Spezialformat</t>
  </si>
  <si>
    <t>min. 20 und max. 500 Zeichen</t>
  </si>
  <si>
    <t>Grobplausibilisierung</t>
  </si>
  <si>
    <t>Mehrfachauswahl</t>
  </si>
  <si>
    <t>Mind. 1 Feld aktiviert</t>
  </si>
  <si>
    <t>Zur Berichterstattung</t>
  </si>
  <si>
    <t>mind. 5 max. 50 Zeichen</t>
  </si>
  <si>
    <t>Dem Gesuch beizulegende Beilagen</t>
  </si>
  <si>
    <t>Mit dem Gesuch um Ausrichtung von Förderbeiträgen gewährt das gesuchstellende Unternehmen der Vollzugsstelle und von diesen zugezogene Dritten das Recht, Informationen und Unterlagen, die zur Prüfung des Gesuchs dienlich sind, bei Amtsstellen und Dritten ungeachtet von Berufs- und Amtsgeheimnissen und vertraglichen Geheimhaltungspflichten einzuholen.</t>
  </si>
  <si>
    <t>GSE § 5.3</t>
  </si>
  <si>
    <t>GSE § 8.2/8.3</t>
  </si>
  <si>
    <t>Bereits gewährte Leistungen sind in folgenden Fällen zurückzuerstatten:
a) im Gesuch wurden falsche Angaben gemacht;
b) das Unternehmen verlagert die geförderten Tätigkeiten im Bereich «Innovation» innerhalb von drei Jahren nach Gewährung der Förderung ins Ausland.</t>
  </si>
  <si>
    <t>GSE § 9.1</t>
  </si>
  <si>
    <t>SEVO § 4.1c</t>
  </si>
  <si>
    <t>SEVO § 6.1</t>
  </si>
  <si>
    <t>Förderungsfähiger steuerlich im Kanton Zug abzugsfähiger Personalaufwand aller am Projekt mitarbeitenden Arbeitnehmer in CHF - Detailberechnung ist beizulegen</t>
  </si>
  <si>
    <t>Aufwand nach § 60a StG von Förderung ausgeschlossen</t>
  </si>
  <si>
    <t>SEVO § 7.1a</t>
  </si>
  <si>
    <t>SEVO § 12</t>
  </si>
  <si>
    <t>EXTERRITORIALE ORGANISATIONEN UND KÖRPERSCHAFTEN</t>
  </si>
  <si>
    <t>PRIVATE HAUSHALTE MIT HAUSPERSONAL; HERSTELLUNG VON WAREN UND ERBRINGUNG VON DIENSTLEISTUNGEN DURCH PRIVATE HAUSHALTE FÜR DEN EIGENBEDARF OHNE AUSGEPRÄGTEN SCHWERPUNKT</t>
  </si>
  <si>
    <t>ERBRINGUNG VON SONSTIGEN DIENSTLEISTUNGEN</t>
  </si>
  <si>
    <t>KUNST, UNTERHALTUNG UND ERHOLUNG</t>
  </si>
  <si>
    <t>GESUNDHEITS- UND SOZIALWESEN</t>
  </si>
  <si>
    <t>ERZIEHUNG UND UNTERRICHT</t>
  </si>
  <si>
    <t>ÖFFENTLICHE VERWALTUNG, VERTEIDIGUNG; SOZIALVERSICHERUNG</t>
  </si>
  <si>
    <t>ERBRINGUNG VON SONSTIGEN WIRTSCHAFTLICHEN DIENSTLEISTUNGEN</t>
  </si>
  <si>
    <t>ERBRINGUNG VON FREIBERUFLICHEN, WISSENSCHAFTLICHEN UND TECHNISCHEN DIENSTLEISTUNGEN</t>
  </si>
  <si>
    <t>GRUNDSTÜCKS- UND WOHNUNGSWESEN</t>
  </si>
  <si>
    <t>ERBRINGUNG VON FINANZ- UND VERSICHERUNGSDIENSTLEISTUNGEN</t>
  </si>
  <si>
    <t>INFORMATION UND KOMMUNIKATION</t>
  </si>
  <si>
    <t>GASTGEWERBE/BEHERBERGUNG UND GASTRONOMIE</t>
  </si>
  <si>
    <t>VERKEHR UND LAGEREI</t>
  </si>
  <si>
    <t>Andere</t>
  </si>
  <si>
    <t>HANDEL; INSTANDHALTUNG UND REPARATUR VON MOTORFAHRZEUGE</t>
  </si>
  <si>
    <t>Firmenhauptsitze</t>
  </si>
  <si>
    <t>BAUGEWERBE/BAU</t>
  </si>
  <si>
    <t>Finanzdienstleistungen</t>
  </si>
  <si>
    <t>WASSERVERSORGUNG; ABWASSER- UND ABFALLENTSORGUNG UND BESEITIGUNG VON UMWELTVERSCHMUTZUNGEN</t>
  </si>
  <si>
    <t>Gross- und Rohstoffhandel</t>
  </si>
  <si>
    <t>ENERGIEVERSORGUNG</t>
  </si>
  <si>
    <t>Tech Industrie</t>
  </si>
  <si>
    <t>VERARBEITENDES GEWERBE/HERSTELLUNG VON WAREN</t>
  </si>
  <si>
    <t>Life Sciences</t>
  </si>
  <si>
    <t>BERGBAU UND GEWINNUNG VON STEINEN UND ERDEN</t>
  </si>
  <si>
    <t>Blockchain, Fintech und IT</t>
  </si>
  <si>
    <t>LAND- UND FORSTWIRTSCHAFT, FISCHEREI</t>
  </si>
  <si>
    <t>Insgesamt 1'700 Einträge zu folgenden Abteilungen</t>
  </si>
  <si>
    <t>https://economy.zg.ch/it/cluster</t>
  </si>
  <si>
    <t>https://www.bfs.admin.ch/asset/de/262590</t>
  </si>
  <si>
    <t>Option 3: xxx</t>
  </si>
  <si>
    <t>Option 2: Branchencluster</t>
  </si>
  <si>
    <t>Option 1: NOGA</t>
  </si>
  <si>
    <t>tbd</t>
  </si>
  <si>
    <t>Auswahl</t>
  </si>
  <si>
    <t>Quelle</t>
  </si>
  <si>
    <t>Auswahl Branche</t>
  </si>
  <si>
    <t>A1</t>
  </si>
  <si>
    <t>Sektorspezifische Frameworks</t>
  </si>
  <si>
    <t>https://ghgprotocol.org/corporate-standard</t>
  </si>
  <si>
    <t>GHG Protocol</t>
  </si>
  <si>
    <t>Universelle Frameworks</t>
  </si>
  <si>
    <t>Inkl. Andere?</t>
  </si>
  <si>
    <t>Auswahl Inventar</t>
  </si>
  <si>
    <t>A2</t>
  </si>
  <si>
    <t>Staatlich beaufsichtigtes Revisionsunternehmen</t>
  </si>
  <si>
    <t>Baar</t>
  </si>
  <si>
    <t>Treureva AG</t>
  </si>
  <si>
    <t>Schwyz</t>
  </si>
  <si>
    <t>Gümligen</t>
  </si>
  <si>
    <t>T + R AG</t>
  </si>
  <si>
    <t>Pfäffikon</t>
  </si>
  <si>
    <t>SWA Swiss Auditors AG</t>
  </si>
  <si>
    <t>Zürich</t>
  </si>
  <si>
    <t>PricewaterhouseCoopers AG</t>
  </si>
  <si>
    <t>PKF Wirtschaftsprüfung AG</t>
  </si>
  <si>
    <t>Lugano</t>
  </si>
  <si>
    <t>PKF CERTIFICA SA</t>
  </si>
  <si>
    <t>St. Gallen</t>
  </si>
  <si>
    <t>OBT AG</t>
  </si>
  <si>
    <t>KPMG AG</t>
  </si>
  <si>
    <t>Grant Thornton AG</t>
  </si>
  <si>
    <t>Ferax Treuhand AG</t>
  </si>
  <si>
    <t>Vernier</t>
  </si>
  <si>
    <t>FORVIS MAZARS SA</t>
  </si>
  <si>
    <t>Basel</t>
  </si>
  <si>
    <t>Ernst &amp; Young AG</t>
  </si>
  <si>
    <t>Deloitte AG</t>
  </si>
  <si>
    <t>Renens VD</t>
  </si>
  <si>
    <t>BfB Audit SA</t>
  </si>
  <si>
    <t>Genève</t>
  </si>
  <si>
    <t>Berney Associés Audit SA</t>
  </si>
  <si>
    <t>Luzern</t>
  </si>
  <si>
    <t>Balmer-Etienne AG</t>
  </si>
  <si>
    <t>BDO AG</t>
  </si>
  <si>
    <t>Avanta Audit AG</t>
  </si>
  <si>
    <t>ASMA Asset Management Audit &amp; Compliance SA</t>
  </si>
  <si>
    <t>Abschliessend</t>
  </si>
  <si>
    <t xml:space="preserve">https://www.rab-asr.ch/#/publicregister </t>
  </si>
  <si>
    <t>Auswahl Revisionsgesellschaften</t>
  </si>
  <si>
    <t>A3</t>
  </si>
  <si>
    <r>
      <t>Förderung der CO</t>
    </r>
    <r>
      <rPr>
        <b/>
        <vertAlign val="subscript"/>
        <sz val="11"/>
        <color theme="1"/>
        <rFont val="Calibri"/>
        <family val="2"/>
        <scheme val="minor"/>
      </rPr>
      <t>2</t>
    </r>
    <r>
      <rPr>
        <b/>
        <sz val="11"/>
        <color theme="1"/>
        <rFont val="Calibri"/>
        <family val="2"/>
        <scheme val="minor"/>
      </rPr>
      <t>-Reduktion</t>
    </r>
  </si>
  <si>
    <t>Typ</t>
  </si>
  <si>
    <t>Reiter</t>
  </si>
  <si>
    <t>Nutzen</t>
  </si>
  <si>
    <t xml:space="preserve">Ziel </t>
  </si>
  <si>
    <t>Quellen, Beispiele, Anmerkungen</t>
  </si>
  <si>
    <t>Informationen zum Fussabdruck</t>
  </si>
  <si>
    <t>Cluster</t>
  </si>
  <si>
    <t>Plausibilisierung/Analysen</t>
  </si>
  <si>
    <t>Understanding entity &amp; environment</t>
  </si>
  <si>
    <t>hilft bei der Plausibilisiernug und ermöglicht Berichterstattung für Cluster</t>
  </si>
  <si>
    <t>Herkunft der Scope 3.1 Emissionen</t>
  </si>
  <si>
    <t>Text, 1'500 Zeichen</t>
  </si>
  <si>
    <t>Plausibilisierung</t>
  </si>
  <si>
    <t>Vernehmlasusngsvorlage stützt sich u.a. auf die Verordnung über die Berichterstattung über Klimabelange</t>
  </si>
  <si>
    <t>Reduktion der Scope 3.1 Emissionen</t>
  </si>
  <si>
    <t>Informationen zum Treibhausgasinventar</t>
  </si>
  <si>
    <t>Treibhausgasinventar auditiert seit</t>
  </si>
  <si>
    <t>Plausibilisierung/Validierung/Analysen</t>
  </si>
  <si>
    <t xml:space="preserve">Scope 3.1. Emissionen erfasst seit </t>
  </si>
  <si>
    <t>Inventar beruht auf Standard</t>
  </si>
  <si>
    <t>Revisionsunternehmen</t>
  </si>
  <si>
    <t>Plausibilisierung/Validierung</t>
  </si>
  <si>
    <t>Effektive Scope 3.1 Emissionen gemäss Treibhausgasinventar (t CO2eq)</t>
  </si>
  <si>
    <t>Berechnung gemäss Vernehmlassungsvorlage</t>
  </si>
  <si>
    <t>Berichtsjahr</t>
  </si>
  <si>
    <t>t CO2eq</t>
  </si>
  <si>
    <t>Zahl</t>
  </si>
  <si>
    <t>Input Berechung</t>
  </si>
  <si>
    <t>Vorjahr</t>
  </si>
  <si>
    <t>Branchenübliche Messgrösse für die Berechnung der Emissionsintensität</t>
  </si>
  <si>
    <t>Freitext</t>
  </si>
  <si>
    <t>Suitability of criteria</t>
  </si>
  <si>
    <t>Einheit</t>
  </si>
  <si>
    <t>Berechnete Werte</t>
  </si>
  <si>
    <t>Feeback für Antragssteller</t>
  </si>
  <si>
    <t>Emissionsintensität Berichtsjahr</t>
  </si>
  <si>
    <t>Emissionsintensität Vorjahr</t>
  </si>
  <si>
    <t>Erwartete Emissionen Berichtsjahr</t>
  </si>
  <si>
    <t>Reduktionsleistung Berichtsjahr</t>
  </si>
  <si>
    <t>Erwartete Emissionen - Effektive Emissionen</t>
  </si>
  <si>
    <t>Bestätigung durch die Antragstellerin</t>
  </si>
  <si>
    <t>Steuert Abschluss</t>
  </si>
  <si>
    <t>[Teilnahmebedingungen/Verbindliche Aussagen]</t>
  </si>
  <si>
    <t>Vollständigkeit</t>
  </si>
  <si>
    <t>Risk management</t>
  </si>
  <si>
    <t>Y/N (muss Y)</t>
  </si>
  <si>
    <t>Die Messgrösse für die Berechnung der Emissionsintensität ist branchenüblich.</t>
  </si>
  <si>
    <t>Ein Beleg mit den Daten für die Berechnung der Emissionsintensität liegt bei.</t>
  </si>
  <si>
    <t>Y/N (muss opt 1/2)</t>
  </si>
  <si>
    <t>§ 60a Zusätzlicher Abzug von Forschungs- und Entwicklungsaufwand
1 Forschungs- und Entwicklungsaufwand wird auf Antrag um höchstens 50 Prozent über den geschäftsmässig begründeten Forschungs- und Entwicklungsaufwand hinaus zum Abzug zugelassen. Vorbehalten bleibt § 60b.
2 Für die Definition des Forschungs- und Entwicklungsaufwands sowie der zum erhöhten Abzug berechtigenden Aufwendungen gelten Art. 25a Absatz 1–3 des Bundesgesetzes über die Harmonisierung der direkten Steuern der Kantone und Gemeinden[10] sinngemäss. 
3 Ist die Auftraggeberin oder der Auftraggeber der Forschung und Entwicklung abzugsberechtigt, so steht der Auftragnehmerin oder dem Auftragnehmer dafür kein Abzug zu.</t>
  </si>
  <si>
    <t>SEVO § 12.1</t>
  </si>
  <si>
    <t>SEVO § 14</t>
  </si>
  <si>
    <t>Bei der Berechnung der Scope 3.1-Emissionen wurden keine Offsets oder ähnliche Instrumente eingesetzt.</t>
  </si>
  <si>
    <t>Detaillierte Übersicht mit Berechnungen der fraglichen Grössen</t>
  </si>
  <si>
    <t>Bei Förderantrag aufgrund CO2-Reduktion: im entsprechenden Formularteil aufgelistete Beilagen</t>
  </si>
  <si>
    <t>Dynamisch generiert</t>
  </si>
  <si>
    <t>Formular zur Geltendmachung von Förderbeiträgen im Kanton Zug</t>
  </si>
  <si>
    <t>Ort der Bank</t>
  </si>
  <si>
    <t>IBAN</t>
  </si>
  <si>
    <t>Konto lautend auf (Name, Adresse)</t>
  </si>
  <si>
    <t>Förd_Aufwand</t>
  </si>
  <si>
    <t>Förd_CO2</t>
  </si>
  <si>
    <t>Firma_Name</t>
  </si>
  <si>
    <t>Firma_Sitz</t>
  </si>
  <si>
    <t>Firma_UID</t>
  </si>
  <si>
    <t>A4</t>
  </si>
  <si>
    <t>Zug</t>
  </si>
  <si>
    <t>Cham</t>
  </si>
  <si>
    <t>Steinhausen</t>
  </si>
  <si>
    <t>Walchwil</t>
  </si>
  <si>
    <t>Risch</t>
  </si>
  <si>
    <t>Hünenberg</t>
  </si>
  <si>
    <t>Oberägeri</t>
  </si>
  <si>
    <t>Unterägeri</t>
  </si>
  <si>
    <t>Menzingen</t>
  </si>
  <si>
    <t>Neuheim</t>
  </si>
  <si>
    <t>Herr</t>
  </si>
  <si>
    <t>ASMA SA</t>
  </si>
  <si>
    <t>TRG Mattig-Suter und Partner</t>
  </si>
  <si>
    <t>Förderinstrumente</t>
  </si>
  <si>
    <t>Aufwand- und ertragsseitige Förderung</t>
  </si>
  <si>
    <r>
      <t>CO</t>
    </r>
    <r>
      <rPr>
        <vertAlign val="subscript"/>
        <sz val="12"/>
        <color theme="1"/>
        <rFont val="Calibri"/>
        <family val="2"/>
        <scheme val="minor"/>
      </rPr>
      <t>2</t>
    </r>
    <r>
      <rPr>
        <sz val="12"/>
        <color theme="1"/>
        <rFont val="Calibri"/>
        <family val="2"/>
        <scheme val="minor"/>
      </rPr>
      <t>-Reduktion</t>
    </r>
  </si>
  <si>
    <r>
      <t>Aufwandseitige Förderung und CO</t>
    </r>
    <r>
      <rPr>
        <vertAlign val="subscript"/>
        <sz val="12"/>
        <color theme="1"/>
        <rFont val="Calibri"/>
        <family val="2"/>
        <scheme val="minor"/>
      </rPr>
      <t>2</t>
    </r>
    <r>
      <rPr>
        <sz val="12"/>
        <color theme="1"/>
        <rFont val="Calibri"/>
        <family val="2"/>
        <scheme val="minor"/>
      </rPr>
      <t>-Reduktion</t>
    </r>
  </si>
  <si>
    <r>
      <t>Ertragsseitige Förderung und CO</t>
    </r>
    <r>
      <rPr>
        <vertAlign val="subscript"/>
        <sz val="12"/>
        <color theme="1"/>
        <rFont val="Calibri"/>
        <family val="2"/>
        <scheme val="minor"/>
      </rPr>
      <t>2</t>
    </r>
    <r>
      <rPr>
        <sz val="12"/>
        <color theme="1"/>
        <rFont val="Calibri"/>
        <family val="2"/>
        <scheme val="minor"/>
      </rPr>
      <t>-Reduktion</t>
    </r>
  </si>
  <si>
    <r>
      <t>Aufwand- und ertragsseitige Förderung sowie CO</t>
    </r>
    <r>
      <rPr>
        <vertAlign val="subscript"/>
        <sz val="12"/>
        <color theme="1"/>
        <rFont val="Calibri"/>
        <family val="2"/>
        <scheme val="minor"/>
      </rPr>
      <t>2</t>
    </r>
    <r>
      <rPr>
        <sz val="12"/>
        <color theme="1"/>
        <rFont val="Calibri"/>
        <family val="2"/>
        <scheme val="minor"/>
      </rPr>
      <t>-Reduktion</t>
    </r>
  </si>
  <si>
    <t>A5</t>
  </si>
  <si>
    <t>Forschungsart</t>
  </si>
  <si>
    <t>GL-Forschung</t>
  </si>
  <si>
    <t>Ind_Forschung</t>
  </si>
  <si>
    <t>Exp_Entw</t>
  </si>
  <si>
    <t>GL-F</t>
  </si>
  <si>
    <t>Tech</t>
  </si>
  <si>
    <t>Ang_F</t>
  </si>
  <si>
    <t>Proto_Sys</t>
  </si>
  <si>
    <t>Demonstr</t>
  </si>
  <si>
    <t>Erst_komm_S</t>
  </si>
  <si>
    <t>Komm_Anw</t>
  </si>
  <si>
    <t>Arbeitserfass</t>
  </si>
  <si>
    <t>Triagegrundlage</t>
  </si>
  <si>
    <t>Personalaufw</t>
  </si>
  <si>
    <t>Anrede_Kontakt</t>
  </si>
  <si>
    <t>Name_Kontakt</t>
  </si>
  <si>
    <t>Vorname_Kontakt</t>
  </si>
  <si>
    <t>Adresse_Kontakt</t>
  </si>
  <si>
    <t>E-Mail_Kontakt</t>
  </si>
  <si>
    <t>Telefon_Kontakt</t>
  </si>
  <si>
    <t>Audit_seit</t>
  </si>
  <si>
    <t>Erfasst_seit</t>
  </si>
  <si>
    <t>Standard</t>
  </si>
  <si>
    <t>Revisor</t>
  </si>
  <si>
    <t>t_Berichtsjahr</t>
  </si>
  <si>
    <t>t_Vorjahr</t>
  </si>
  <si>
    <t>Messgrösse</t>
  </si>
  <si>
    <t>Menge_Berichtsj</t>
  </si>
  <si>
    <t>Menge_Vorj</t>
  </si>
  <si>
    <t>Int_Berichtsj</t>
  </si>
  <si>
    <t>Int_Vorj</t>
  </si>
  <si>
    <t>Emiss_Reduktion</t>
  </si>
  <si>
    <t>Emiss_Herkunft</t>
  </si>
  <si>
    <t>Emiss_Berichtsj</t>
  </si>
  <si>
    <t>Red_Berichtsj</t>
  </si>
  <si>
    <t>Audit_Inventar</t>
  </si>
  <si>
    <t>Keine_Offsets</t>
  </si>
  <si>
    <t>Branchenmessgr</t>
  </si>
  <si>
    <t>Beleg</t>
  </si>
  <si>
    <t>Aufw_Anspruch</t>
  </si>
  <si>
    <t>Aufw_Förder</t>
  </si>
  <si>
    <t>Öko_Förder</t>
  </si>
  <si>
    <t>Förder_theor</t>
  </si>
  <si>
    <t>Förder_mV</t>
  </si>
  <si>
    <t>Bankangaben für die Auszahlung allfälliger Fördergelder</t>
  </si>
  <si>
    <t>Bank</t>
  </si>
  <si>
    <t>Bank_Ort</t>
  </si>
  <si>
    <t>Konto-Inhaber</t>
  </si>
  <si>
    <t>Report</t>
  </si>
  <si>
    <t>A6</t>
  </si>
  <si>
    <t>Grundlagen- und industrielle Forschung</t>
  </si>
  <si>
    <t>Grundlagenforschung und experimentelle Entwicklung</t>
  </si>
  <si>
    <t>Industrielle Forschung und experimentelle Entwicklung</t>
  </si>
  <si>
    <t>Grundlagen- und industrielle Forschung sowie experimentelle Entwicklung</t>
  </si>
  <si>
    <t>Korrektur</t>
  </si>
  <si>
    <t>Falls Unternehmen sowohl förderungsfähige als auch nicht förderungsfähige Projekte verfolgen, muss die Grundlage für die Aufteilung sowie die Verfahren und Kontrollmechanismen für die Überwachung und Trennung von förderfähigen und nicht förderfähigen Projekten angegeben werden:</t>
  </si>
  <si>
    <r>
      <t>t CO</t>
    </r>
    <r>
      <rPr>
        <vertAlign val="subscript"/>
        <sz val="10"/>
        <color theme="1"/>
        <rFont val="Calibri"/>
        <family val="2"/>
        <scheme val="minor"/>
      </rPr>
      <t>2</t>
    </r>
    <r>
      <rPr>
        <sz val="10"/>
        <color theme="1"/>
        <rFont val="Calibri"/>
        <family val="2"/>
        <scheme val="minor"/>
      </rPr>
      <t>eq</t>
    </r>
  </si>
  <si>
    <t>Beschreibung (z.B. Eingekaufte Waren)</t>
  </si>
  <si>
    <t>Einheit (z.B. Liter, Tonnen)</t>
  </si>
  <si>
    <t>Beschreibung (z.B. Eingek. Waren)</t>
  </si>
  <si>
    <t>Relevante Mengen</t>
  </si>
  <si>
    <t>j</t>
  </si>
  <si>
    <t>Proto_kl</t>
  </si>
  <si>
    <t>Proto_gr</t>
  </si>
  <si>
    <t>Fallnummer</t>
  </si>
  <si>
    <t>ID</t>
  </si>
  <si>
    <t>Treuh.- &amp; Rev'gesellschaft Mattig-Suter und Partner</t>
  </si>
  <si>
    <t>Übersicht</t>
  </si>
  <si>
    <t>CO2-Beilagen</t>
  </si>
  <si>
    <t>PLZ</t>
  </si>
  <si>
    <t>Ort</t>
  </si>
  <si>
    <t>Im Kanton Zug steuerpflichtig in</t>
  </si>
  <si>
    <t>Keine Forschung</t>
  </si>
  <si>
    <t>Branchen-Cluster</t>
  </si>
  <si>
    <t>Prüfer 1</t>
  </si>
  <si>
    <t>Prüfer 2</t>
  </si>
  <si>
    <t>Prüfer1</t>
  </si>
  <si>
    <t>Prüfer2</t>
  </si>
  <si>
    <t>Bemerk_P1</t>
  </si>
  <si>
    <t>Bemerk_P2</t>
  </si>
  <si>
    <t>ok</t>
  </si>
  <si>
    <t>A7</t>
  </si>
  <si>
    <t>Entscheid</t>
  </si>
  <si>
    <t>Gesuch sistiert</t>
  </si>
  <si>
    <t>Gesuch abgelehnt</t>
  </si>
  <si>
    <t>Gesuch mit relevanten Änderungen bewilligt</t>
  </si>
  <si>
    <t>Gesuch ohne relevante Änderungen bewilligt</t>
  </si>
  <si>
    <t>Anleitung Datensatz einfügen</t>
  </si>
  <si>
    <t>Die Felder mit Inhalt der dritten Zeile mit [ctrl][c] kopieren (nicht die ganze Zeile!) und in der Datenbank nach dem letzten Datensatz einfügen durch Rechtsklick in der nächsten leeren Zelle der Spalte A und Auswahl der Einfügeoption "Werte" (Symbol Klemmbrett mit Zahlenfolge 123).</t>
  </si>
  <si>
    <t>Dem Gesuch liegen folgende Beilagen bei (ausschliesslich als PDF-Dokumente hochladen)</t>
  </si>
  <si>
    <t>Bei ausstehenden Zahlungen gegenüber Behörden kann die Auszahlung des Förderbeitrags verweigert werden.
In begründeten Fällen kann mit der Auszahlung zugewartet werden, bis die für die Berechnung relevanten Informationen in definitiver Form vorliegen.</t>
  </si>
  <si>
    <t>A8</t>
  </si>
  <si>
    <t>Frau</t>
  </si>
  <si>
    <t>Besten Dank für Ihren Antrag auf einen GSE-Förderbeitrag. Leider können wir diesen in der vorliegenden Form nicht bearbeiten, da er nicht komplett ist.</t>
  </si>
  <si>
    <t>Freundliche Grüsse</t>
  </si>
  <si>
    <t xml:space="preserve">Bitte stellen Sie uns die folgenden fehlenden Unterlagen zu: </t>
  </si>
  <si>
    <t>E-Mail (für Rückfragen und Entscheidkommunikation)</t>
  </si>
  <si>
    <t>Besten Dank für Ihren Antrag auf einen GSE-Förderbeitrag. Leider können wir diesem aus den folgenden Gründen nicht stattgeben:</t>
  </si>
  <si>
    <t>Wir bedauern, Ihnen keinen besseren Bescheid geben zu können.</t>
  </si>
  <si>
    <t>sistiert</t>
  </si>
  <si>
    <t>abgelehnt</t>
  </si>
  <si>
    <t>ok mit Änd</t>
  </si>
  <si>
    <t>Aufgrund der uns vorliegenden Unterlagen und Informationen mussten wir folgende Anpassungen vornehmen:</t>
  </si>
  <si>
    <t>Diese Textzeile manuell ergänzen</t>
  </si>
  <si>
    <t>UID (nur die neunstellige Zahl erfassen ohne Zusatz)</t>
  </si>
  <si>
    <t>Mit Einreichen dieses Gesuchs bestätigt die obgenannte Kontaktperson, dieses Formular vollständig und wahrheitsgemäss ausgefüllt zu haben. Falschangaben erfüllen den Tatbestand der Urkundenfälschung und können mit Busse oder Haft geahndet werden. Zudem sind bereits geleistete Förderbeiträge zurückzubezahlen.</t>
  </si>
  <si>
    <t>BetrRA</t>
  </si>
  <si>
    <t>Keine_Förd</t>
  </si>
  <si>
    <t>RückerstPfl</t>
  </si>
  <si>
    <t>Keine_Ausst</t>
  </si>
  <si>
    <t>Rückerstattungspflicht zur Kenntnis genommen</t>
  </si>
  <si>
    <t>Keine finanziellen Ausstände bei Behörden vorhanden</t>
  </si>
  <si>
    <t>CHF</t>
  </si>
  <si>
    <t>Z</t>
  </si>
  <si>
    <t>Z9</t>
  </si>
  <si>
    <t>Z4</t>
  </si>
  <si>
    <t>Fr</t>
  </si>
  <si>
    <t>T 20-500</t>
  </si>
  <si>
    <t>Nur ganzzahligen Wert erfassen</t>
  </si>
  <si>
    <t>Empf_P</t>
  </si>
  <si>
    <t>Anr1</t>
  </si>
  <si>
    <t>PLZ_Ort_Kontakt</t>
  </si>
  <si>
    <t>Beschreibung des Systems zur Erfassung der Arbeit an qualifizierten und nicht qualifizierten Projekten. Die Beschreibung sollte mindestens enthalten, wann die Mitarbeiter ihre Arbeit erfassen, wer diese Erfassung überprüft und wie das qualifizierte Element des Projekts ermittelt wird.</t>
  </si>
  <si>
    <t>Konto lautend auf</t>
  </si>
  <si>
    <t>Rechtsmittelbelehrung</t>
  </si>
  <si>
    <t>gse-hotline@zg.ch</t>
  </si>
  <si>
    <t>Förderjahr:</t>
  </si>
  <si>
    <t>Hotline:</t>
  </si>
  <si>
    <r>
      <t xml:space="preserve">Formular zur Geltendmachung von Förderbeiträgen im Kanton Zug   </t>
    </r>
    <r>
      <rPr>
        <b/>
        <sz val="8"/>
        <color theme="0"/>
        <rFont val="Calibri"/>
        <family val="2"/>
        <scheme val="minor"/>
      </rPr>
      <t>(V4)</t>
    </r>
  </si>
  <si>
    <t>Aufwandseitige Innovationsförderung</t>
  </si>
  <si>
    <t>Fördergesuch für</t>
  </si>
  <si>
    <t>(beides möglich)</t>
  </si>
  <si>
    <t>Basisdaten</t>
  </si>
  <si>
    <t>Unternehmenszweck (kurz gefasst)</t>
  </si>
  <si>
    <t>Umsatz in CHF</t>
  </si>
  <si>
    <t>Qualifizierende Tätigkeit (§ 6 Abs. 2 Bst. d SEVO)</t>
  </si>
  <si>
    <t xml:space="preserve">Qualifizierende Tätigkeit </t>
  </si>
  <si>
    <t>(§ 6 Abs. 2 Bst. d SEVO)</t>
  </si>
  <si>
    <t>Kurzbeschreibung der innovativen Tätigkeiten</t>
  </si>
  <si>
    <t>Auf welcher Stufe befindet sich der Innovationsprozess? (Mehrfachnennung möglich)</t>
  </si>
  <si>
    <t>Stufe des Innovationsprozesses</t>
  </si>
  <si>
    <t>Nur falls klinische Studien geltend gemacht werden:</t>
  </si>
  <si>
    <t>Beleg beilegen</t>
  </si>
  <si>
    <t>- Sachaufwand in der Schweiz (§ 7 Abs. 3 Bst. a)</t>
  </si>
  <si>
    <t>- Aufwand durch beauftragte Dritte (§ 7 Abs. 3 Bst. b)</t>
  </si>
  <si>
    <t>https://economy.zg.ch/de/cluster</t>
  </si>
  <si>
    <t>Wie erfolgt die Reduktion der Scope 3.1 Emissionen?</t>
  </si>
  <si>
    <t>ISO 14064</t>
  </si>
  <si>
    <t>Nach welcher Methode wurden die Treibhausgasemissionen berechnet?</t>
  </si>
  <si>
    <t>Falls die Gesamtsumme aller individuellen Förderansprüche über dem vom Regierungsrat festgelegten Jahresförderbetrag liegt, werden ein Höchstbetrag pro Förderanspruch festgelegt und die darunterliegenden Förderansprüche entsprechend prozentual gekürzt. (§ 10 Abs. 3 SEVO)</t>
  </si>
  <si>
    <r>
      <t xml:space="preserve">Die erforderlichen Unterlagen und/oder das aktualisierte Antragsformular laden Sie bitte auf der </t>
    </r>
    <r>
      <rPr>
        <sz val="12"/>
        <color rgb="FFFF0000"/>
        <rFont val="Calibri"/>
        <family val="2"/>
        <scheme val="minor"/>
      </rPr>
      <t xml:space="preserve">Website [url] </t>
    </r>
    <r>
      <rPr>
        <sz val="12"/>
        <color theme="1"/>
        <rFont val="Calibri"/>
        <family val="2"/>
        <scheme val="minor"/>
      </rPr>
      <t>hoch.</t>
    </r>
  </si>
  <si>
    <t>Gegen diese Verfügung kann bei der Finanzdirektion des Kantons Zug, Baarerstrasse 53, Postfach, 6301 Zug innert 20 Tagen schriftlich Einsprache erhoben werden. Die Einsprache soll einen Antrag und eine Begründung enthalten. Die Beweismittel sind zu bezeichnen und soweit möglich beizufügen.</t>
  </si>
  <si>
    <t>Vorbehalten bleibt lediglich eine allfällige Kürzung, falls die Summe der anspruchsberechtigten Anträge den verfügbaren Betrag von 150 Millionen Franken übersteigt. Diesfalls würden sämtliche bewilligten Anträge linear um den gleichen Prozentsatz gekürzt, damit die Gesamtsumme von 150 Millionen Franken eingehalten werden kann. Allenfalls legt der Regierungsrat auch eine betragliche Obergrenze pro Gesuch fest. Ob eine solche Kürzung notwendig ist, wird am 20. November 2025 entschieden und Ihnen anschliessend per Mail mitgeteilt. Daraufhin erfolgt die Auszahlung auf das von Ihnen angegebene Bankkonto.</t>
  </si>
  <si>
    <t>Imm_Güter</t>
  </si>
  <si>
    <t>Immaterielle Güter</t>
  </si>
  <si>
    <t>Klinische Studien</t>
  </si>
  <si>
    <t>Klin_Studien</t>
  </si>
  <si>
    <t>Drittaufwand</t>
  </si>
  <si>
    <t>Sachaufwand</t>
  </si>
  <si>
    <t>Personalstellen in VZÄ</t>
  </si>
  <si>
    <t xml:space="preserve">Unternehmenszweck </t>
  </si>
  <si>
    <r>
      <t>CO</t>
    </r>
    <r>
      <rPr>
        <vertAlign val="subscript"/>
        <sz val="10"/>
        <color theme="1"/>
        <rFont val="Calibri"/>
        <family val="2"/>
        <scheme val="minor"/>
      </rPr>
      <t>2</t>
    </r>
    <r>
      <rPr>
        <sz val="10"/>
        <color theme="1"/>
        <rFont val="Calibri"/>
        <family val="2"/>
        <scheme val="minor"/>
      </rPr>
      <t>-Reduktion (oranger Teil)</t>
    </r>
  </si>
  <si>
    <t>Aufwandseitige Innovationsförderung (blauer Teil)</t>
  </si>
  <si>
    <t>§ 60a Zusätzlicher Abzug von Forschungs- und Entwicklungsaufwand
1 Forschungs- und Entwicklungsaufwand wird auf Antrag um höchstens 50 Prozent über den geschäftsmässig begründeten Forschungs- und Entwicklungsaufwand hinaus zum Abzug zugelassen. Vorbehalten bleibt § 60b.
2 Für die Definition des Forschungs- und Entwicklungsaufwands sowie der zum erhöhten Abzug berechtigenden Aufwendungen gelten Art. 25a Absatz 1–3 des Bundesgesetzes über die Harmonisierung der direkten Steuern der Kantone und Gemeinden sinngemäss. 
3 Ist die Auftraggeberin oder der Auftraggeber der Forschung und Entwicklung abzugsberechtigt, so steht der Auftragnehmerin oder dem Auftragnehmer dafür kein Abzug zu.</t>
  </si>
  <si>
    <t>Funktion</t>
  </si>
  <si>
    <t>Funktion_Kontakt</t>
  </si>
  <si>
    <t>Sachaufwand in der Schweiz</t>
  </si>
  <si>
    <t>Aufwand durch beauftragte Dritte</t>
  </si>
  <si>
    <t>Berechn_Art</t>
  </si>
  <si>
    <t>Umsatz</t>
  </si>
  <si>
    <t>VZÄ</t>
  </si>
  <si>
    <t>Unt_zweck</t>
  </si>
  <si>
    <t>Personen-Nr. gemäss betrieblicher Steuererklärung</t>
  </si>
  <si>
    <t>Personen-Nr. (Steuererklärung)</t>
  </si>
  <si>
    <t>Nur achtstelligen Wert erfassen</t>
  </si>
  <si>
    <t>Pers_ID</t>
  </si>
  <si>
    <t>Pers_Aufw</t>
  </si>
  <si>
    <r>
      <t xml:space="preserve">Art der förderberechtigten Innovation </t>
    </r>
    <r>
      <rPr>
        <sz val="10"/>
        <color theme="1"/>
        <rFont val="Calibri"/>
        <family val="2"/>
        <scheme val="minor"/>
      </rPr>
      <t>(§ 6 SEVO)</t>
    </r>
  </si>
  <si>
    <t>Nur falls in der Schweiz durchgeführte klinische Studien geltend gemacht werden:</t>
  </si>
  <si>
    <t>Betreibungsregisterauszug (nicht älter als 1 Jahr)</t>
  </si>
  <si>
    <t>Qual_Tätigkeit</t>
  </si>
  <si>
    <t>Tätigkeit_Beschrieb</t>
  </si>
  <si>
    <t>V4</t>
  </si>
  <si>
    <t>Gesuchsteller</t>
  </si>
  <si>
    <t>Prüfer</t>
  </si>
  <si>
    <r>
      <t xml:space="preserve">Funktion </t>
    </r>
    <r>
      <rPr>
        <i/>
        <sz val="9"/>
        <color theme="1"/>
        <rFont val="Calibri"/>
        <family val="2"/>
        <scheme val="minor"/>
      </rPr>
      <t>(Vertretung: Vollmacht beilegen)</t>
    </r>
  </si>
  <si>
    <t>Vollmacht</t>
  </si>
  <si>
    <t>Vertretung</t>
  </si>
  <si>
    <t>Vollmacht falls als Vertreter (Anwalt/Treuhänder usw.) handelnd</t>
  </si>
  <si>
    <t>Erste Seite der aktuellsten Unternehmenssteuererklärung mit Pers-ID und Angaben zur steuerpflichtigen Person</t>
  </si>
  <si>
    <t>SteuerErkl</t>
  </si>
  <si>
    <t>Ausweis</t>
  </si>
  <si>
    <r>
      <rPr>
        <b/>
        <i/>
        <sz val="10"/>
        <color theme="1"/>
        <rFont val="Calibri"/>
        <family val="2"/>
        <scheme val="minor"/>
      </rPr>
      <t>Hinweis</t>
    </r>
    <r>
      <rPr>
        <i/>
        <sz val="10"/>
        <color theme="1"/>
        <rFont val="Calibri"/>
        <family val="2"/>
        <scheme val="minor"/>
      </rPr>
      <t>: Falls Sie einem der aufgeführten Cluster angehören UND Firmenhauptsitz sind, wählen Sie bitte den Cluster.</t>
    </r>
  </si>
  <si>
    <t>Falls Unternehmen sowohl förderungsfähige als auch nicht förderungsfähige Projekte/Tätigkeiten verfolgen, sind anzugeben:
- die Grundlage für die Aufteilung,
- die Verfahren und Kontrollmechanismen zur Überwachung und Trennung der Projekte/Tätigkeiten.
Die Aufteilung muss nicht gleichzeitig erfolgen, sollte jedoch zeitnah durchgeführt werden (z. B. monatlich im Nachhinein, mit Überprüfung am Quartalsende). Sie muss unbedingt vor der Beantragung der F&amp;E&amp;I-Fördermassnahme abgeschlossen sein. Die entsprechenden Belegunterlagen müssen für die Überprüfung verfügbar sein.</t>
  </si>
  <si>
    <t>Steuergesetzes</t>
  </si>
  <si>
    <t xml:space="preserve">  ohne Aufwand nach § 60a des</t>
  </si>
  <si>
    <t>- Sachaufwand (§ 7 Abs. 3 Bst. a SEVO)</t>
  </si>
  <si>
    <t>Revisionsunternehmen gemäss § 4 Abs. 2 SEVO</t>
  </si>
  <si>
    <t>Inventar beruht auf Standard (gem. § 3 Abs. 1 SEVO)</t>
  </si>
  <si>
    <t>Beleg beiliegend</t>
  </si>
  <si>
    <t>Amtlicher Ausweis (Pass, ID) mit elektronischer Unterschrift (QES)</t>
  </si>
  <si>
    <t>Sehr geehrte Damen und Herren</t>
  </si>
  <si>
    <t>Gemäss § 2 Abs. 2 der Vollziehungsverordnung zum Gesetz über Standortentwicklung (SEVO) können Gesuche von Unternehmen in Liquidation oder mit substanziellen Zahlungsausständen abgelehnt werden.</t>
  </si>
  <si>
    <t>Die Koordinaten der Unternehmung sind:</t>
  </si>
  <si>
    <t>Besten Dank für Ihre Unterstützung.</t>
  </si>
  <si>
    <t>Anfrage bezüglich Zahlungsausständen</t>
  </si>
  <si>
    <t>Verwaltungsgericht</t>
  </si>
  <si>
    <t>Finanzverwaltung</t>
  </si>
  <si>
    <t>Steuerverwaltung</t>
  </si>
  <si>
    <t>info.vg@zg.ch</t>
  </si>
  <si>
    <t>Obergericht</t>
  </si>
  <si>
    <t>Name der Bank</t>
  </si>
  <si>
    <t>Bankangaben für die Auszahlung eines allfälliger Fördergelder</t>
  </si>
  <si>
    <t>info.og.gerichtskasse@zg.ch</t>
  </si>
  <si>
    <t>meryem.dogan@zg.ch</t>
  </si>
  <si>
    <t>buchhaltung.kfv@zg.ch</t>
  </si>
  <si>
    <t>An</t>
  </si>
  <si>
    <t>cc</t>
  </si>
  <si>
    <t>Beleg mit Basisdaten für Berechnungen (u.a. ordentlich revidierte Jahresrechnung mit Revisionsbericht)</t>
  </si>
  <si>
    <t>Keine staatlichen Fördermittel im In- oder Ausland bezogen oder beantragt</t>
  </si>
  <si>
    <t>Übrige Schweiz</t>
  </si>
  <si>
    <t>Ausland</t>
  </si>
  <si>
    <t>felix.koepfli@zg.ch</t>
  </si>
  <si>
    <t>simon.schlumpf@zg.ch</t>
  </si>
  <si>
    <t>Das Formular ist in Deutsch auszufüllen. Beilagen können ausnahmsweise auch in Französisch, Italienisch oder Englisch eingereicht werden, wenn sie nicht anders verfügbar sind.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</si>
</sst>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_ * #,##0_ ;_ * \-#,##0_ ;_ * &quot;-&quot;??_ ;_ @_ "/>
    <numFmt numFmtId="165" formatCode="&quot;CHF&quot;\ #,##0"/>
    <numFmt numFmtId="166" formatCode="&quot;CHE-&quot;000&quot;.&quot;000&quot;.&quot;000"/>
    <numFmt numFmtId="170" formatCode="0000&quot;-&quot;0000"/>
  </numFmts>
  <fonts count="50" x14ac:knownFonts="1">
    <font>
      <sz val="12"/>
      <color theme="1"/>
      <name val="Calibri"/>
      <family val="2"/>
      <scheme val="minor"/>
    </font>
    <font>
      <sz val="10"/>
      <color theme="1"/>
      <name val="Calibri"/>
      <family val="2"/>
      <scheme val="minor"/>
    </font>
    <font>
      <u/>
      <sz val="10"/>
      <color theme="1"/>
      <name val="Calibri"/>
      <family val="2"/>
      <scheme val="minor"/>
    </font>
    <font>
      <b/>
      <sz val="10"/>
      <color theme="1"/>
      <name val="Calibri"/>
      <family val="2"/>
      <scheme val="minor"/>
    </font>
    <font>
      <vertAlign val="subscript"/>
      <sz val="10"/>
      <color theme="1"/>
      <name val="Calibri"/>
      <family val="2"/>
      <scheme val="minor"/>
    </font>
    <font>
      <b/>
      <sz val="12"/>
      <color theme="1"/>
      <name val="Calibri"/>
      <family val="2"/>
      <scheme val="minor"/>
    </font>
    <font>
      <sz val="10"/>
      <color rgb="FFFF0000"/>
      <name val="Calibri"/>
      <family val="2"/>
      <scheme val="minor"/>
    </font>
    <font>
      <b/>
      <sz val="11"/>
      <color theme="1"/>
      <name val="Calibri"/>
      <family val="2"/>
      <scheme val="minor"/>
    </font>
    <font>
      <b/>
      <vertAlign val="subscript"/>
      <sz val="10"/>
      <color theme="1"/>
      <name val="Calibri"/>
      <family val="2"/>
      <scheme val="minor"/>
    </font>
    <font>
      <b/>
      <sz val="10"/>
      <color rgb="FFFF0000"/>
      <name val="Calibri"/>
      <family val="2"/>
      <scheme val="minor"/>
    </font>
    <font>
      <sz val="12"/>
      <color theme="1"/>
      <name val="Calibri"/>
      <family val="2"/>
      <scheme val="minor"/>
    </font>
    <font>
      <sz val="9"/>
      <color theme="1"/>
      <name val="Calibri"/>
      <family val="2"/>
      <scheme val="minor"/>
    </font>
    <font>
      <i/>
      <sz val="9"/>
      <color theme="1"/>
      <name val="Calibri"/>
      <family val="2"/>
      <scheme val="minor"/>
    </font>
    <font>
      <b/>
      <sz val="14"/>
      <color theme="1"/>
      <name val="Calibri"/>
      <family val="2"/>
      <scheme val="minor"/>
    </font>
    <font>
      <sz val="8"/>
      <name val="Calibri"/>
      <family val="2"/>
      <scheme val="minor"/>
    </font>
    <font>
      <i/>
      <sz val="10"/>
      <color theme="1"/>
      <name val="Calibri"/>
      <family val="2"/>
      <scheme val="minor"/>
    </font>
    <font>
      <sz val="10"/>
      <name val="Calibri"/>
      <family val="2"/>
      <scheme val="minor"/>
    </font>
    <font>
      <u/>
      <sz val="12"/>
      <color theme="10"/>
      <name val="Calibri"/>
      <family val="2"/>
      <scheme val="minor"/>
    </font>
    <font>
      <strike/>
      <sz val="10"/>
      <color theme="1"/>
      <name val="Calibri"/>
      <family val="2"/>
      <scheme val="minor"/>
    </font>
    <font>
      <strike/>
      <sz val="12"/>
      <color theme="1"/>
      <name val="Calibri"/>
      <family val="2"/>
      <scheme val="minor"/>
    </font>
    <font>
      <b/>
      <strike/>
      <sz val="12"/>
      <color theme="1"/>
      <name val="Calibri"/>
      <family val="2"/>
      <scheme val="minor"/>
    </font>
    <font>
      <sz val="25"/>
      <color theme="1"/>
      <name val="Calibri"/>
      <family val="2"/>
      <scheme val="minor"/>
    </font>
    <font>
      <b/>
      <sz val="26"/>
      <color theme="1"/>
      <name val="Calibri"/>
      <family val="2"/>
      <scheme val="minor"/>
    </font>
    <font>
      <u/>
      <sz val="10"/>
      <color theme="10"/>
      <name val="Calibri"/>
      <family val="2"/>
      <scheme val="minor"/>
    </font>
    <font>
      <u/>
      <sz val="12"/>
      <name val="Calibri"/>
      <family val="2"/>
      <scheme val="minor"/>
    </font>
    <font>
      <b/>
      <vertAlign val="subscript"/>
      <sz val="11"/>
      <color theme="1"/>
      <name val="Calibri"/>
      <family val="2"/>
      <scheme val="minor"/>
    </font>
    <font>
      <b/>
      <sz val="10"/>
      <name val="Calibri"/>
      <family val="2"/>
      <scheme val="minor"/>
    </font>
    <font>
      <strike/>
      <sz val="10"/>
      <name val="Calibri"/>
      <family val="2"/>
      <scheme val="minor"/>
    </font>
    <font>
      <i/>
      <sz val="10"/>
      <color rgb="FFC00000"/>
      <name val="Calibri"/>
      <family val="2"/>
      <scheme val="minor"/>
    </font>
    <font>
      <b/>
      <i/>
      <sz val="10"/>
      <color theme="1"/>
      <name val="Calibri"/>
      <family val="2"/>
      <scheme val="minor"/>
    </font>
    <font>
      <sz val="10"/>
      <color rgb="FFC00000"/>
      <name val="Calibri"/>
      <family val="2"/>
      <scheme val="minor"/>
    </font>
    <font>
      <i/>
      <sz val="10"/>
      <color rgb="FFFF0000"/>
      <name val="Calibri"/>
      <family val="2"/>
      <scheme val="minor"/>
    </font>
    <font>
      <sz val="9"/>
      <name val="Calibri"/>
      <family val="2"/>
      <scheme val="minor"/>
    </font>
    <font>
      <b/>
      <sz val="12"/>
      <color rgb="FFFF0000"/>
      <name val="Calibri"/>
      <family val="2"/>
      <scheme val="minor"/>
    </font>
    <font>
      <sz val="8"/>
      <color theme="1"/>
      <name val="Arial"/>
      <family val="2"/>
    </font>
    <font>
      <sz val="8"/>
      <color rgb="FF000000"/>
      <name val="Segoe UI"/>
      <family val="2"/>
    </font>
    <font>
      <vertAlign val="subscript"/>
      <sz val="12"/>
      <color theme="1"/>
      <name val="Calibri"/>
      <family val="2"/>
      <scheme val="minor"/>
    </font>
    <font>
      <b/>
      <sz val="14"/>
      <color rgb="FFFF0000"/>
      <name val="Calibri"/>
      <family val="2"/>
      <scheme val="minor"/>
    </font>
    <font>
      <b/>
      <sz val="16"/>
      <color theme="0"/>
      <name val="Calibri"/>
      <family val="2"/>
      <scheme val="minor"/>
    </font>
    <font>
      <b/>
      <sz val="12"/>
      <color theme="0"/>
      <name val="Calibri"/>
      <family val="2"/>
      <scheme val="minor"/>
    </font>
    <font>
      <b/>
      <sz val="11"/>
      <color rgb="FFFF0000"/>
      <name val="Calibri"/>
      <family val="2"/>
      <scheme val="minor"/>
    </font>
    <font>
      <b/>
      <sz val="16"/>
      <color theme="1"/>
      <name val="Calibri"/>
      <family val="2"/>
      <scheme val="minor"/>
    </font>
    <font>
      <sz val="12"/>
      <color rgb="FFFF0000"/>
      <name val="Calibri"/>
      <family val="2"/>
      <scheme val="minor"/>
    </font>
    <font>
      <b/>
      <sz val="8"/>
      <color theme="0"/>
      <name val="Calibri"/>
      <family val="2"/>
      <scheme val="minor"/>
    </font>
    <font>
      <b/>
      <sz val="10"/>
      <color theme="9" tint="-0.249977111117893"/>
      <name val="Calibri"/>
      <family val="2"/>
      <scheme val="minor"/>
    </font>
    <font>
      <u/>
      <sz val="9"/>
      <color theme="10"/>
      <name val="Calibri"/>
      <family val="2"/>
      <scheme val="minor"/>
    </font>
    <font>
      <b/>
      <sz val="12"/>
      <color theme="9" tint="-0.249977111117893"/>
      <name val="Calibri"/>
      <family val="2"/>
      <scheme val="minor"/>
    </font>
    <font>
      <b/>
      <sz val="10"/>
      <color theme="0" tint="-0.499984740745262"/>
      <name val="Calibri"/>
      <family val="2"/>
      <scheme val="minor"/>
    </font>
    <font>
      <sz val="10"/>
      <color theme="0" tint="-0.499984740745262"/>
      <name val="Calibri"/>
      <family val="2"/>
      <scheme val="minor"/>
    </font>
    <font>
      <b/>
      <sz val="12"/>
      <color theme="0" tint="-0.499984740745262"/>
      <name val="Calibri"/>
      <family val="2"/>
      <scheme val="minor"/>
    </font>
  </fonts>
  <fills count="24">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rgb="FF92D050"/>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9" tint="-0.499984740745262"/>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FF0000"/>
        <bgColor indexed="64"/>
      </patternFill>
    </fill>
    <fill>
      <patternFill patternType="solid">
        <fgColor rgb="FF00B050"/>
        <bgColor indexed="64"/>
      </patternFill>
    </fill>
    <fill>
      <patternFill patternType="solid">
        <fgColor theme="4" tint="0.79998168889431442"/>
        <bgColor indexed="64"/>
      </patternFill>
    </fill>
    <fill>
      <patternFill patternType="solid">
        <fgColor theme="7"/>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00B0F0"/>
        <bgColor indexed="64"/>
      </patternFill>
    </fill>
  </fills>
  <borders count="18">
    <border>
      <left/>
      <right/>
      <top/>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diagonal/>
    </border>
    <border>
      <left/>
      <right style="medium">
        <color indexed="64"/>
      </right>
      <top/>
      <bottom/>
      <diagonal/>
    </border>
    <border>
      <left style="medium">
        <color indexed="64"/>
      </left>
      <right style="medium">
        <color indexed="64"/>
      </right>
      <top/>
      <bottom/>
      <diagonal/>
    </border>
  </borders>
  <cellStyleXfs count="3">
    <xf numFmtId="0" fontId="0" fillId="0" borderId="0"/>
    <xf numFmtId="43" fontId="10" fillId="0" borderId="0" applyFont="0" applyFill="0" applyBorder="0" applyAlignment="0" applyProtection="0"/>
    <xf numFmtId="0" fontId="17" fillId="0" borderId="0" applyNumberFormat="0" applyFill="0" applyBorder="0" applyAlignment="0" applyProtection="0"/>
  </cellStyleXfs>
  <cellXfs count="287">
    <xf numFmtId="0" fontId="0" fillId="0" borderId="0" xfId="0"/>
    <xf numFmtId="0" fontId="1" fillId="0" borderId="0" xfId="0" applyFont="1" applyAlignment="1">
      <alignment horizontal="left" vertical="center"/>
    </xf>
    <xf numFmtId="0" fontId="2" fillId="0" borderId="0" xfId="0" applyFont="1" applyAlignment="1">
      <alignment vertical="center"/>
    </xf>
    <xf numFmtId="0" fontId="1" fillId="0" borderId="0" xfId="0" applyFont="1" applyAlignment="1">
      <alignment vertical="center"/>
    </xf>
    <xf numFmtId="0" fontId="1" fillId="2" borderId="0" xfId="0" applyFont="1" applyFill="1" applyAlignment="1">
      <alignment vertical="center"/>
    </xf>
    <xf numFmtId="0" fontId="3" fillId="0" borderId="0" xfId="0" applyFont="1" applyAlignment="1">
      <alignment horizontal="left" vertical="center"/>
    </xf>
    <xf numFmtId="0" fontId="1" fillId="2" borderId="0" xfId="0" applyFont="1" applyFill="1" applyAlignment="1">
      <alignment horizontal="left" vertical="center"/>
    </xf>
    <xf numFmtId="0" fontId="3" fillId="2" borderId="0" xfId="0" applyFont="1" applyFill="1" applyAlignment="1">
      <alignment horizontal="left" vertical="center"/>
    </xf>
    <xf numFmtId="0" fontId="5" fillId="0" borderId="0" xfId="0" applyFont="1" applyAlignment="1">
      <alignment horizontal="left" vertical="top"/>
    </xf>
    <xf numFmtId="0" fontId="3" fillId="5" borderId="0" xfId="0" applyFont="1" applyFill="1" applyAlignment="1">
      <alignment horizontal="left" vertical="center"/>
    </xf>
    <xf numFmtId="0" fontId="1" fillId="5" borderId="0" xfId="0" applyFont="1" applyFill="1" applyAlignment="1">
      <alignment horizontal="left" vertical="center"/>
    </xf>
    <xf numFmtId="0" fontId="2" fillId="5" borderId="0" xfId="0" applyFont="1" applyFill="1" applyAlignment="1">
      <alignment vertical="center"/>
    </xf>
    <xf numFmtId="0" fontId="1" fillId="5" borderId="0" xfId="0" applyFont="1" applyFill="1" applyAlignment="1">
      <alignment vertical="center"/>
    </xf>
    <xf numFmtId="0" fontId="6" fillId="0" borderId="0" xfId="0" applyFont="1" applyAlignment="1">
      <alignment vertical="center"/>
    </xf>
    <xf numFmtId="0" fontId="6" fillId="0" borderId="0" xfId="0" applyFont="1" applyAlignment="1">
      <alignment horizontal="left" vertical="center"/>
    </xf>
    <xf numFmtId="0" fontId="1" fillId="5" borderId="0" xfId="0" applyFont="1" applyFill="1" applyAlignment="1">
      <alignment horizontal="left" vertical="top"/>
    </xf>
    <xf numFmtId="0" fontId="1" fillId="0" borderId="0" xfId="0" applyFont="1" applyAlignment="1">
      <alignment horizontal="left" vertical="top" wrapText="1"/>
    </xf>
    <xf numFmtId="0" fontId="6" fillId="0" borderId="0" xfId="0" applyFont="1" applyAlignment="1">
      <alignment horizontal="left" vertical="top" wrapText="1"/>
    </xf>
    <xf numFmtId="0" fontId="1" fillId="4" borderId="0" xfId="0" applyFont="1" applyFill="1" applyAlignment="1">
      <alignment horizontal="left" vertical="center"/>
    </xf>
    <xf numFmtId="0" fontId="7" fillId="2" borderId="0" xfId="0" applyFont="1" applyFill="1" applyAlignment="1">
      <alignment vertical="center"/>
    </xf>
    <xf numFmtId="0" fontId="7" fillId="5" borderId="0" xfId="0" applyFont="1" applyFill="1" applyAlignment="1">
      <alignment horizontal="left" vertical="center"/>
    </xf>
    <xf numFmtId="0" fontId="3" fillId="6" borderId="0" xfId="0" applyFont="1" applyFill="1" applyAlignment="1">
      <alignment horizontal="left" vertical="center"/>
    </xf>
    <xf numFmtId="0" fontId="1" fillId="6" borderId="0" xfId="0" applyFont="1" applyFill="1" applyAlignment="1">
      <alignment horizontal="left" vertical="center"/>
    </xf>
    <xf numFmtId="0" fontId="13" fillId="8" borderId="0" xfId="0" applyFont="1" applyFill="1" applyAlignment="1">
      <alignment horizontal="left" vertical="center"/>
    </xf>
    <xf numFmtId="0" fontId="1" fillId="8" borderId="0" xfId="0" applyFont="1" applyFill="1" applyAlignment="1">
      <alignment horizontal="left" vertical="center"/>
    </xf>
    <xf numFmtId="0" fontId="3" fillId="8" borderId="0" xfId="0" applyFont="1" applyFill="1" applyAlignment="1">
      <alignment horizontal="left" vertical="center"/>
    </xf>
    <xf numFmtId="164" fontId="1" fillId="8" borderId="0" xfId="0" applyNumberFormat="1" applyFont="1" applyFill="1" applyAlignment="1">
      <alignment horizontal="left" vertical="center"/>
    </xf>
    <xf numFmtId="0" fontId="1" fillId="8" borderId="12" xfId="0" applyFont="1" applyFill="1" applyBorder="1" applyAlignment="1">
      <alignment horizontal="left" vertical="center"/>
    </xf>
    <xf numFmtId="9" fontId="1" fillId="8" borderId="12" xfId="0" applyNumberFormat="1" applyFont="1" applyFill="1" applyBorder="1" applyAlignment="1">
      <alignment horizontal="right" vertical="center"/>
    </xf>
    <xf numFmtId="164" fontId="1" fillId="8" borderId="12" xfId="0" applyNumberFormat="1" applyFont="1" applyFill="1" applyBorder="1" applyAlignment="1">
      <alignment horizontal="left" vertical="center"/>
    </xf>
    <xf numFmtId="0" fontId="3" fillId="8" borderId="0" xfId="0" applyFont="1" applyFill="1" applyAlignment="1">
      <alignment horizontal="left"/>
    </xf>
    <xf numFmtId="9" fontId="3" fillId="8" borderId="0" xfId="0" applyNumberFormat="1" applyFont="1" applyFill="1" applyAlignment="1">
      <alignment horizontal="right"/>
    </xf>
    <xf numFmtId="164" fontId="3" fillId="8" borderId="0" xfId="0" applyNumberFormat="1" applyFont="1" applyFill="1" applyAlignment="1">
      <alignment horizontal="left"/>
    </xf>
    <xf numFmtId="3" fontId="1" fillId="8" borderId="12" xfId="0" applyNumberFormat="1" applyFont="1" applyFill="1" applyBorder="1" applyAlignment="1">
      <alignment horizontal="left" vertical="center"/>
    </xf>
    <xf numFmtId="0" fontId="11" fillId="8" borderId="0" xfId="0" applyFont="1" applyFill="1" applyAlignment="1">
      <alignment horizontal="right" vertical="top"/>
    </xf>
    <xf numFmtId="0" fontId="5" fillId="9" borderId="1" xfId="0" applyFont="1" applyFill="1" applyBorder="1" applyAlignment="1">
      <alignment horizontal="left" vertical="center"/>
    </xf>
    <xf numFmtId="164" fontId="5" fillId="9" borderId="1" xfId="0" applyNumberFormat="1" applyFont="1" applyFill="1" applyBorder="1" applyAlignment="1">
      <alignment horizontal="left" vertical="center"/>
    </xf>
    <xf numFmtId="0" fontId="1" fillId="10" borderId="6" xfId="0" applyFont="1" applyFill="1" applyBorder="1" applyAlignment="1">
      <alignment vertical="center"/>
    </xf>
    <xf numFmtId="0" fontId="1" fillId="10" borderId="7" xfId="0" applyFont="1" applyFill="1" applyBorder="1" applyAlignment="1">
      <alignment horizontal="left" vertical="center"/>
    </xf>
    <xf numFmtId="0" fontId="1" fillId="10" borderId="8" xfId="0" applyFont="1" applyFill="1" applyBorder="1" applyAlignment="1">
      <alignment horizontal="left" vertical="center"/>
    </xf>
    <xf numFmtId="0" fontId="1" fillId="10" borderId="9" xfId="0" applyFont="1" applyFill="1" applyBorder="1" applyAlignment="1">
      <alignment horizontal="left" vertical="center"/>
    </xf>
    <xf numFmtId="0" fontId="1" fillId="10" borderId="10" xfId="0" applyFont="1" applyFill="1" applyBorder="1" applyAlignment="1">
      <alignment horizontal="left" vertical="center"/>
    </xf>
    <xf numFmtId="0" fontId="1" fillId="10" borderId="11" xfId="0" applyFont="1" applyFill="1" applyBorder="1" applyAlignment="1">
      <alignment horizontal="left" vertical="center"/>
    </xf>
    <xf numFmtId="0" fontId="1" fillId="10" borderId="4" xfId="0" applyFont="1" applyFill="1" applyBorder="1" applyAlignment="1">
      <alignment horizontal="left" vertical="top"/>
    </xf>
    <xf numFmtId="0" fontId="1" fillId="10" borderId="3" xfId="0" applyFont="1" applyFill="1" applyBorder="1" applyAlignment="1">
      <alignment horizontal="left" vertical="top"/>
    </xf>
    <xf numFmtId="0" fontId="1" fillId="10" borderId="4" xfId="0" applyFont="1" applyFill="1" applyBorder="1" applyAlignment="1">
      <alignment horizontal="left" vertical="center"/>
    </xf>
    <xf numFmtId="0" fontId="1" fillId="10" borderId="5" xfId="0" applyFont="1" applyFill="1" applyBorder="1" applyAlignment="1">
      <alignment horizontal="left" vertical="center"/>
    </xf>
    <xf numFmtId="0" fontId="15" fillId="0" borderId="0" xfId="0" applyFont="1" applyAlignment="1">
      <alignment horizontal="left" vertical="center"/>
    </xf>
    <xf numFmtId="0" fontId="18" fillId="3" borderId="15" xfId="0" applyFont="1" applyFill="1" applyBorder="1" applyAlignment="1">
      <alignment horizontal="left" vertical="center"/>
    </xf>
    <xf numFmtId="0" fontId="1" fillId="3" borderId="0" xfId="0" applyFont="1" applyFill="1" applyAlignment="1">
      <alignment horizontal="left" vertical="center"/>
    </xf>
    <xf numFmtId="0" fontId="1" fillId="3" borderId="15" xfId="0" applyFont="1" applyFill="1" applyBorder="1" applyAlignment="1">
      <alignment horizontal="left" vertical="center"/>
    </xf>
    <xf numFmtId="0" fontId="1" fillId="0" borderId="15" xfId="0" applyFont="1" applyBorder="1"/>
    <xf numFmtId="0" fontId="0" fillId="0" borderId="15" xfId="0" applyBorder="1"/>
    <xf numFmtId="0" fontId="19" fillId="0" borderId="15" xfId="0" applyFont="1" applyBorder="1"/>
    <xf numFmtId="0" fontId="0" fillId="3" borderId="15" xfId="0" applyFill="1" applyBorder="1" applyAlignment="1">
      <alignment horizontal="left" vertical="center"/>
    </xf>
    <xf numFmtId="0" fontId="0" fillId="3" borderId="0" xfId="0" applyFill="1" applyAlignment="1">
      <alignment horizontal="left" vertical="center"/>
    </xf>
    <xf numFmtId="0" fontId="19" fillId="3" borderId="15" xfId="0" applyFont="1" applyFill="1" applyBorder="1" applyAlignment="1">
      <alignment horizontal="left" vertical="center"/>
    </xf>
    <xf numFmtId="0" fontId="5" fillId="3" borderId="15" xfId="0" applyFont="1" applyFill="1" applyBorder="1" applyAlignment="1">
      <alignment horizontal="left" vertical="center"/>
    </xf>
    <xf numFmtId="0" fontId="20" fillId="3" borderId="15" xfId="0" applyFont="1" applyFill="1" applyBorder="1" applyAlignment="1">
      <alignment horizontal="left" vertical="center"/>
    </xf>
    <xf numFmtId="0" fontId="21" fillId="3" borderId="0" xfId="0" applyFont="1" applyFill="1" applyAlignment="1">
      <alignment horizontal="left" vertical="center"/>
    </xf>
    <xf numFmtId="0" fontId="22" fillId="0" borderId="0" xfId="0" applyFont="1" applyAlignment="1">
      <alignment horizontal="center"/>
    </xf>
    <xf numFmtId="0" fontId="23" fillId="0" borderId="0" xfId="2" applyFont="1" applyAlignment="1">
      <alignment horizontal="left" vertical="center"/>
    </xf>
    <xf numFmtId="0" fontId="23" fillId="3" borderId="0" xfId="2" applyFont="1" applyFill="1" applyAlignment="1">
      <alignment horizontal="left" vertical="center"/>
    </xf>
    <xf numFmtId="0" fontId="1" fillId="0" borderId="0" xfId="0" applyFont="1"/>
    <xf numFmtId="0" fontId="3" fillId="3" borderId="0" xfId="0" applyFont="1" applyFill="1" applyAlignment="1">
      <alignment horizontal="left" vertical="center"/>
    </xf>
    <xf numFmtId="0" fontId="24" fillId="3" borderId="0" xfId="2" applyFont="1" applyFill="1" applyAlignment="1">
      <alignment horizontal="left" vertical="center"/>
    </xf>
    <xf numFmtId="0" fontId="7" fillId="6" borderId="0" xfId="0" applyFont="1" applyFill="1" applyAlignment="1">
      <alignment horizontal="left" vertical="center"/>
    </xf>
    <xf numFmtId="0" fontId="3" fillId="0" borderId="0" xfId="0" applyFont="1" applyAlignment="1">
      <alignment horizontal="center" vertical="center"/>
    </xf>
    <xf numFmtId="0" fontId="26" fillId="0" borderId="0" xfId="0" applyFont="1" applyAlignment="1">
      <alignment horizontal="center" vertical="center"/>
    </xf>
    <xf numFmtId="0" fontId="16" fillId="0" borderId="0" xfId="0" applyFont="1" applyAlignment="1">
      <alignment horizontal="left" vertical="center"/>
    </xf>
    <xf numFmtId="0" fontId="27" fillId="0" borderId="0" xfId="0" applyFont="1" applyAlignment="1">
      <alignment horizontal="left" vertical="center"/>
    </xf>
    <xf numFmtId="0" fontId="9" fillId="0" borderId="0" xfId="0" applyFont="1" applyAlignment="1">
      <alignment horizontal="center" vertical="center"/>
    </xf>
    <xf numFmtId="0" fontId="28" fillId="6" borderId="0" xfId="0" applyFont="1" applyFill="1" applyAlignment="1">
      <alignment horizontal="left" vertical="center"/>
    </xf>
    <xf numFmtId="164" fontId="1" fillId="6" borderId="0" xfId="0" applyNumberFormat="1" applyFont="1" applyFill="1" applyAlignment="1">
      <alignment horizontal="left" vertical="center"/>
    </xf>
    <xf numFmtId="2" fontId="1" fillId="6" borderId="0" xfId="0" applyNumberFormat="1" applyFont="1" applyFill="1" applyAlignment="1">
      <alignment horizontal="right" vertical="center"/>
    </xf>
    <xf numFmtId="164" fontId="15" fillId="6" borderId="0" xfId="0" applyNumberFormat="1" applyFont="1" applyFill="1" applyAlignment="1">
      <alignment horizontal="left" vertical="center"/>
    </xf>
    <xf numFmtId="0" fontId="15" fillId="6" borderId="0" xfId="0" applyFont="1" applyFill="1" applyAlignment="1">
      <alignment horizontal="left" vertical="center"/>
    </xf>
    <xf numFmtId="0" fontId="16" fillId="6" borderId="0" xfId="0" applyFont="1" applyFill="1" applyAlignment="1">
      <alignment horizontal="left" vertical="center"/>
    </xf>
    <xf numFmtId="164" fontId="15" fillId="0" borderId="0" xfId="0" applyNumberFormat="1" applyFont="1" applyAlignment="1">
      <alignment horizontal="left" vertical="center"/>
    </xf>
    <xf numFmtId="164" fontId="29" fillId="0" borderId="0" xfId="0" applyNumberFormat="1" applyFont="1" applyAlignment="1">
      <alignment horizontal="center" vertical="center"/>
    </xf>
    <xf numFmtId="164" fontId="3" fillId="6" borderId="0" xfId="0" applyNumberFormat="1" applyFont="1" applyFill="1" applyAlignment="1">
      <alignment horizontal="left" vertical="center"/>
    </xf>
    <xf numFmtId="0" fontId="30" fillId="6" borderId="0" xfId="0" applyFont="1" applyFill="1" applyAlignment="1">
      <alignment horizontal="left" vertical="center"/>
    </xf>
    <xf numFmtId="0" fontId="31" fillId="0" borderId="0" xfId="0" quotePrefix="1" applyFont="1" applyAlignment="1">
      <alignment horizontal="left" vertical="center"/>
    </xf>
    <xf numFmtId="0" fontId="1" fillId="7" borderId="0" xfId="0" applyFont="1" applyFill="1" applyAlignment="1">
      <alignment horizontal="left" vertical="center" wrapText="1"/>
    </xf>
    <xf numFmtId="0" fontId="16" fillId="0" borderId="0" xfId="0" quotePrefix="1" applyFont="1" applyAlignment="1">
      <alignment horizontal="left" vertical="center"/>
    </xf>
    <xf numFmtId="0" fontId="16" fillId="0" borderId="0" xfId="0" applyFont="1" applyAlignment="1">
      <alignment vertical="center"/>
    </xf>
    <xf numFmtId="0" fontId="1" fillId="8" borderId="0" xfId="0" applyFont="1" applyFill="1" applyAlignment="1">
      <alignment horizontal="left" vertical="center" wrapText="1"/>
    </xf>
    <xf numFmtId="0" fontId="1" fillId="3" borderId="0" xfId="0" applyFont="1" applyFill="1" applyAlignment="1">
      <alignment horizontal="right" vertical="center"/>
    </xf>
    <xf numFmtId="0" fontId="0" fillId="0" borderId="0" xfId="0" applyAlignment="1">
      <alignment horizontal="right"/>
    </xf>
    <xf numFmtId="0" fontId="11" fillId="6" borderId="0" xfId="0" applyFont="1" applyFill="1" applyAlignment="1">
      <alignment horizontal="left" vertical="center"/>
    </xf>
    <xf numFmtId="0" fontId="32" fillId="6" borderId="0" xfId="0" applyFont="1" applyFill="1" applyAlignment="1">
      <alignment horizontal="left" vertical="center"/>
    </xf>
    <xf numFmtId="0" fontId="1" fillId="8" borderId="0" xfId="0" applyFont="1" applyFill="1" applyAlignment="1">
      <alignment horizontal="left" vertical="top"/>
    </xf>
    <xf numFmtId="0" fontId="33" fillId="8" borderId="0" xfId="0" applyFont="1" applyFill="1" applyAlignment="1">
      <alignment horizontal="left" vertical="center"/>
    </xf>
    <xf numFmtId="0" fontId="1" fillId="8" borderId="0" xfId="0" applyFont="1" applyFill="1" applyAlignment="1">
      <alignment horizontal="right" vertical="center"/>
    </xf>
    <xf numFmtId="0" fontId="3" fillId="8" borderId="0" xfId="0" applyFont="1" applyFill="1" applyAlignment="1">
      <alignment horizontal="left" vertical="top"/>
    </xf>
    <xf numFmtId="0" fontId="1" fillId="10" borderId="9" xfId="0" applyFont="1" applyFill="1" applyBorder="1" applyAlignment="1">
      <alignment vertical="center"/>
    </xf>
    <xf numFmtId="0" fontId="1" fillId="10" borderId="16" xfId="0" applyFont="1" applyFill="1" applyBorder="1" applyAlignment="1">
      <alignment vertical="center"/>
    </xf>
    <xf numFmtId="0" fontId="17" fillId="0" borderId="0" xfId="2"/>
    <xf numFmtId="0" fontId="1" fillId="2" borderId="0" xfId="0" applyFont="1" applyFill="1" applyAlignment="1">
      <alignment horizontal="right" vertical="center"/>
    </xf>
    <xf numFmtId="0" fontId="1" fillId="7" borderId="0" xfId="0" applyFont="1" applyFill="1" applyAlignment="1">
      <alignment horizontal="left" vertical="center"/>
    </xf>
    <xf numFmtId="0" fontId="9" fillId="2" borderId="0" xfId="0" applyFont="1" applyFill="1" applyAlignment="1">
      <alignment horizontal="left" vertical="center"/>
    </xf>
    <xf numFmtId="0" fontId="0" fillId="5" borderId="0" xfId="0" applyFill="1"/>
    <xf numFmtId="0" fontId="0" fillId="2" borderId="0" xfId="0" applyFill="1"/>
    <xf numFmtId="3" fontId="0" fillId="0" borderId="0" xfId="0" applyNumberFormat="1"/>
    <xf numFmtId="0" fontId="0" fillId="6" borderId="0" xfId="0" applyFill="1"/>
    <xf numFmtId="0" fontId="0" fillId="8" borderId="0" xfId="0" applyFill="1"/>
    <xf numFmtId="2" fontId="0" fillId="0" borderId="0" xfId="0" applyNumberFormat="1"/>
    <xf numFmtId="0" fontId="3" fillId="0" borderId="0" xfId="0" applyFont="1" applyAlignment="1">
      <alignment vertical="center"/>
    </xf>
    <xf numFmtId="0" fontId="1" fillId="5" borderId="0" xfId="0" applyFont="1" applyFill="1" applyAlignment="1">
      <alignment vertical="top" wrapText="1"/>
    </xf>
    <xf numFmtId="0" fontId="3" fillId="5" borderId="0" xfId="0" applyFont="1" applyFill="1" applyAlignment="1">
      <alignment vertical="top"/>
    </xf>
    <xf numFmtId="0" fontId="1" fillId="5" borderId="0" xfId="0" applyFont="1" applyFill="1" applyAlignment="1">
      <alignment vertical="top"/>
    </xf>
    <xf numFmtId="0" fontId="0" fillId="5" borderId="0" xfId="0" applyFill="1" applyAlignment="1">
      <alignment horizontal="right" vertical="center"/>
    </xf>
    <xf numFmtId="0" fontId="3" fillId="5" borderId="0" xfId="0" applyFont="1" applyFill="1" applyAlignment="1">
      <alignment vertical="top" wrapText="1"/>
    </xf>
    <xf numFmtId="0" fontId="1" fillId="6" borderId="0" xfId="0" applyFont="1" applyFill="1" applyAlignment="1">
      <alignment vertical="top"/>
    </xf>
    <xf numFmtId="164" fontId="1" fillId="0" borderId="0" xfId="0" applyNumberFormat="1" applyFont="1" applyAlignment="1">
      <alignment horizontal="left" vertical="center"/>
    </xf>
    <xf numFmtId="0" fontId="26" fillId="6" borderId="0" xfId="0" applyFont="1" applyFill="1" applyAlignment="1">
      <alignment horizontal="left" vertical="center"/>
    </xf>
    <xf numFmtId="0" fontId="3" fillId="6" borderId="0" xfId="0" applyFont="1" applyFill="1" applyAlignment="1">
      <alignment horizontal="center" vertical="center"/>
    </xf>
    <xf numFmtId="0" fontId="37" fillId="6" borderId="0" xfId="0" applyFont="1" applyFill="1" applyAlignment="1">
      <alignment horizontal="right" vertical="center"/>
    </xf>
    <xf numFmtId="0" fontId="3" fillId="2" borderId="0" xfId="0" applyFont="1" applyFill="1" applyAlignment="1">
      <alignment vertical="top"/>
    </xf>
    <xf numFmtId="0" fontId="3" fillId="2" borderId="0" xfId="0" applyFont="1" applyFill="1" applyAlignment="1">
      <alignment horizontal="left" vertical="top"/>
    </xf>
    <xf numFmtId="0" fontId="5" fillId="2" borderId="0" xfId="0" applyFont="1" applyFill="1" applyAlignment="1">
      <alignment horizontal="left" vertical="top"/>
    </xf>
    <xf numFmtId="0" fontId="3" fillId="2" borderId="0" xfId="0" applyFont="1" applyFill="1" applyAlignment="1">
      <alignment horizontal="center" vertical="center"/>
    </xf>
    <xf numFmtId="4" fontId="1" fillId="6" borderId="0" xfId="0" applyNumberFormat="1" applyFont="1" applyFill="1" applyAlignment="1">
      <alignment horizontal="right" vertical="center"/>
    </xf>
    <xf numFmtId="0" fontId="34" fillId="6" borderId="0" xfId="0" applyFont="1" applyFill="1" applyAlignment="1">
      <alignment horizontal="right" vertical="center"/>
    </xf>
    <xf numFmtId="0" fontId="3" fillId="8" borderId="0" xfId="0" applyFont="1" applyFill="1" applyAlignment="1">
      <alignment horizontal="center" vertical="center"/>
    </xf>
    <xf numFmtId="0" fontId="33" fillId="8" borderId="0" xfId="0" applyFont="1" applyFill="1" applyAlignment="1">
      <alignment horizontal="right" vertical="center"/>
    </xf>
    <xf numFmtId="0" fontId="39" fillId="14" borderId="0" xfId="0" applyFont="1" applyFill="1" applyAlignment="1">
      <alignment horizontal="center" vertical="center"/>
    </xf>
    <xf numFmtId="0" fontId="3" fillId="2" borderId="0" xfId="0" applyFont="1" applyFill="1" applyAlignment="1">
      <alignment horizontal="right" vertical="center"/>
    </xf>
    <xf numFmtId="0" fontId="40" fillId="8" borderId="0" xfId="0" applyFont="1" applyFill="1" applyAlignment="1">
      <alignment horizontal="left" vertical="center"/>
    </xf>
    <xf numFmtId="0" fontId="0" fillId="0" borderId="0" xfId="0" applyProtection="1">
      <protection locked="0"/>
    </xf>
    <xf numFmtId="3" fontId="0" fillId="0" borderId="0" xfId="0" applyNumberFormat="1" applyProtection="1">
      <protection locked="0"/>
    </xf>
    <xf numFmtId="0" fontId="5" fillId="13" borderId="0" xfId="0" applyFont="1" applyFill="1"/>
    <xf numFmtId="0" fontId="0" fillId="11" borderId="0" xfId="0" applyFill="1"/>
    <xf numFmtId="0" fontId="0" fillId="16" borderId="0" xfId="0" applyFill="1"/>
    <xf numFmtId="0" fontId="0" fillId="18" borderId="0" xfId="0" applyFill="1"/>
    <xf numFmtId="0" fontId="0" fillId="17" borderId="0" xfId="0" applyFill="1"/>
    <xf numFmtId="0" fontId="1" fillId="3" borderId="13" xfId="0" applyFont="1" applyFill="1" applyBorder="1" applyAlignment="1" applyProtection="1">
      <alignment vertical="center"/>
      <protection locked="0"/>
    </xf>
    <xf numFmtId="0" fontId="1" fillId="3" borderId="13" xfId="0" applyFont="1" applyFill="1" applyBorder="1" applyAlignment="1" applyProtection="1">
      <alignment horizontal="left" vertical="center"/>
      <protection locked="0"/>
    </xf>
    <xf numFmtId="0" fontId="1" fillId="3" borderId="14" xfId="0" applyFont="1" applyFill="1" applyBorder="1" applyAlignment="1" applyProtection="1">
      <alignment vertical="center"/>
      <protection locked="0"/>
    </xf>
    <xf numFmtId="164" fontId="1" fillId="3" borderId="2" xfId="1" applyNumberFormat="1" applyFont="1" applyFill="1" applyBorder="1" applyAlignment="1" applyProtection="1">
      <alignment horizontal="left" vertical="center"/>
      <protection locked="0"/>
    </xf>
    <xf numFmtId="164" fontId="1" fillId="10" borderId="0" xfId="1" applyNumberFormat="1"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5" fillId="4" borderId="2" xfId="0" applyFont="1" applyFill="1" applyBorder="1" applyAlignment="1" applyProtection="1">
      <alignment horizontal="center" vertical="center"/>
      <protection locked="0"/>
    </xf>
    <xf numFmtId="0" fontId="0" fillId="4" borderId="2" xfId="0" applyFill="1" applyBorder="1" applyAlignment="1" applyProtection="1">
      <alignment horizontal="center" vertical="center"/>
      <protection locked="0"/>
    </xf>
    <xf numFmtId="0" fontId="1" fillId="6" borderId="0" xfId="0" applyFont="1" applyFill="1" applyAlignment="1" applyProtection="1">
      <alignment horizontal="left" vertical="center"/>
      <protection locked="0"/>
    </xf>
    <xf numFmtId="166" fontId="0" fillId="0" borderId="0" xfId="0" applyNumberFormat="1"/>
    <xf numFmtId="0" fontId="1" fillId="19" borderId="0" xfId="0" applyFont="1" applyFill="1" applyAlignment="1">
      <alignment horizontal="left" vertical="center"/>
    </xf>
    <xf numFmtId="3" fontId="0" fillId="15" borderId="0" xfId="0" applyNumberFormat="1" applyFill="1"/>
    <xf numFmtId="0" fontId="9" fillId="6" borderId="0" xfId="0" applyFont="1" applyFill="1" applyAlignment="1">
      <alignment horizontal="left" vertical="center"/>
    </xf>
    <xf numFmtId="43" fontId="1" fillId="6" borderId="0" xfId="0" applyNumberFormat="1" applyFont="1" applyFill="1" applyAlignment="1">
      <alignment horizontal="left" vertical="center"/>
    </xf>
    <xf numFmtId="0" fontId="9" fillId="5" borderId="0" xfId="0" applyFont="1" applyFill="1" applyAlignment="1">
      <alignment vertical="center"/>
    </xf>
    <xf numFmtId="0" fontId="9" fillId="8" borderId="0" xfId="0" applyFont="1" applyFill="1" applyAlignment="1">
      <alignment horizontal="right" vertical="center"/>
    </xf>
    <xf numFmtId="0" fontId="1" fillId="0" borderId="2" xfId="1" applyNumberFormat="1" applyFont="1" applyFill="1" applyBorder="1" applyAlignment="1" applyProtection="1">
      <alignment horizontal="left" vertical="center"/>
      <protection locked="0"/>
    </xf>
    <xf numFmtId="164" fontId="1" fillId="0" borderId="2" xfId="1" applyNumberFormat="1" applyFont="1" applyFill="1" applyBorder="1" applyAlignment="1" applyProtection="1">
      <alignment horizontal="left" vertical="center"/>
      <protection locked="0"/>
    </xf>
    <xf numFmtId="165" fontId="1" fillId="0" borderId="2" xfId="0" applyNumberFormat="1" applyFont="1" applyBorder="1" applyAlignment="1" applyProtection="1">
      <alignment horizontal="right" vertical="center"/>
      <protection locked="0"/>
    </xf>
    <xf numFmtId="0" fontId="44" fillId="0" borderId="0" xfId="0" applyFont="1" applyAlignment="1">
      <alignment horizontal="left" vertical="center"/>
    </xf>
    <xf numFmtId="0" fontId="17" fillId="2" borderId="0" xfId="2" applyFill="1" applyAlignment="1">
      <alignment horizontal="left" vertical="center"/>
    </xf>
    <xf numFmtId="0" fontId="13" fillId="2" borderId="0" xfId="0" applyFont="1" applyFill="1" applyAlignment="1">
      <alignment vertical="top"/>
    </xf>
    <xf numFmtId="0" fontId="13" fillId="2" borderId="0" xfId="0" applyFont="1" applyFill="1" applyAlignment="1">
      <alignment horizontal="left" vertical="top"/>
    </xf>
    <xf numFmtId="0" fontId="5" fillId="2" borderId="0" xfId="0" applyFont="1" applyFill="1" applyAlignment="1">
      <alignment horizontal="right" vertical="center"/>
    </xf>
    <xf numFmtId="11" fontId="17" fillId="4" borderId="0" xfId="2" applyNumberFormat="1" applyFill="1" applyAlignment="1">
      <alignment horizontal="left" vertical="center"/>
    </xf>
    <xf numFmtId="0" fontId="17" fillId="3" borderId="15" xfId="2" applyFill="1" applyBorder="1" applyAlignment="1">
      <alignment horizontal="left" vertical="center"/>
    </xf>
    <xf numFmtId="0" fontId="1" fillId="20" borderId="0" xfId="0" applyFont="1" applyFill="1" applyAlignment="1">
      <alignment horizontal="right" vertical="center"/>
    </xf>
    <xf numFmtId="0" fontId="1" fillId="10" borderId="0" xfId="0" applyFont="1" applyFill="1" applyAlignment="1">
      <alignment horizontal="left" vertical="center"/>
    </xf>
    <xf numFmtId="0" fontId="1" fillId="2" borderId="0" xfId="0" applyFont="1" applyFill="1" applyAlignment="1">
      <alignment horizontal="left" vertical="top"/>
    </xf>
    <xf numFmtId="0" fontId="1" fillId="5" borderId="0" xfId="0" quotePrefix="1" applyFont="1" applyFill="1" applyAlignment="1">
      <alignment horizontal="left" vertical="top"/>
    </xf>
    <xf numFmtId="0" fontId="6" fillId="7" borderId="0" xfId="0" applyFont="1" applyFill="1" applyAlignment="1">
      <alignment horizontal="left" vertical="top" wrapText="1"/>
    </xf>
    <xf numFmtId="164" fontId="1" fillId="0" borderId="13" xfId="1" applyNumberFormat="1" applyFont="1" applyFill="1" applyBorder="1" applyAlignment="1" applyProtection="1">
      <alignment horizontal="right" vertical="top"/>
      <protection locked="0"/>
    </xf>
    <xf numFmtId="43" fontId="1" fillId="0" borderId="2" xfId="1" applyFont="1" applyFill="1" applyBorder="1" applyAlignment="1" applyProtection="1">
      <alignment horizontal="right" vertical="top"/>
      <protection locked="0"/>
    </xf>
    <xf numFmtId="0" fontId="3" fillId="21" borderId="0" xfId="0" applyFont="1" applyFill="1" applyAlignment="1">
      <alignment horizontal="left" vertical="center"/>
    </xf>
    <xf numFmtId="0" fontId="1" fillId="21" borderId="0" xfId="0" applyFont="1" applyFill="1" applyAlignment="1">
      <alignment horizontal="left" vertical="center"/>
    </xf>
    <xf numFmtId="0" fontId="12" fillId="21" borderId="0" xfId="0" applyFont="1" applyFill="1" applyAlignment="1">
      <alignment horizontal="right" vertical="center"/>
    </xf>
    <xf numFmtId="164" fontId="1" fillId="0" borderId="2" xfId="1" applyNumberFormat="1" applyFont="1" applyFill="1" applyBorder="1" applyAlignment="1" applyProtection="1">
      <alignment horizontal="right" vertical="top"/>
      <protection locked="0"/>
    </xf>
    <xf numFmtId="0" fontId="5" fillId="8" borderId="0" xfId="0" applyFont="1" applyFill="1" applyAlignment="1">
      <alignment horizontal="left" vertical="center"/>
    </xf>
    <xf numFmtId="9" fontId="1" fillId="8" borderId="0" xfId="0" applyNumberFormat="1" applyFont="1" applyFill="1" applyAlignment="1">
      <alignment horizontal="right" vertical="center"/>
    </xf>
    <xf numFmtId="43" fontId="0" fillId="0" borderId="0" xfId="0" applyNumberFormat="1"/>
    <xf numFmtId="3" fontId="1" fillId="3" borderId="2" xfId="0" applyNumberFormat="1" applyFont="1" applyFill="1" applyBorder="1" applyAlignment="1" applyProtection="1">
      <alignment vertical="center"/>
      <protection locked="0"/>
    </xf>
    <xf numFmtId="170" fontId="1" fillId="0" borderId="2" xfId="0" applyNumberFormat="1" applyFont="1" applyBorder="1" applyAlignment="1" applyProtection="1">
      <alignment horizontal="left" vertical="center"/>
      <protection locked="0"/>
    </xf>
    <xf numFmtId="170" fontId="0" fillId="0" borderId="0" xfId="0" applyNumberFormat="1"/>
    <xf numFmtId="0" fontId="41" fillId="0" borderId="0" xfId="0" applyFont="1" applyAlignment="1">
      <alignment horizontal="left" vertical="center"/>
    </xf>
    <xf numFmtId="11" fontId="1" fillId="0" borderId="0" xfId="0" applyNumberFormat="1" applyFont="1" applyAlignment="1">
      <alignment horizontal="left" vertical="center"/>
    </xf>
    <xf numFmtId="0" fontId="6" fillId="0" borderId="0" xfId="0" applyFont="1" applyAlignment="1" applyProtection="1">
      <alignment horizontal="left" vertical="center"/>
      <protection locked="0"/>
    </xf>
    <xf numFmtId="164" fontId="1" fillId="3" borderId="2" xfId="1" applyNumberFormat="1" applyFont="1" applyFill="1" applyBorder="1" applyAlignment="1" applyProtection="1">
      <alignment horizontal="left" vertical="center"/>
    </xf>
    <xf numFmtId="0" fontId="26" fillId="0" borderId="0" xfId="0" applyFont="1" applyAlignment="1" applyProtection="1">
      <alignment horizontal="center" vertical="center"/>
      <protection locked="0"/>
    </xf>
    <xf numFmtId="0" fontId="1" fillId="3" borderId="13" xfId="0" applyFont="1" applyFill="1" applyBorder="1" applyAlignment="1">
      <alignment vertical="center"/>
    </xf>
    <xf numFmtId="164" fontId="1" fillId="10" borderId="0" xfId="1" applyNumberFormat="1" applyFont="1" applyFill="1" applyBorder="1" applyAlignment="1" applyProtection="1">
      <alignment horizontal="left" vertical="center"/>
    </xf>
    <xf numFmtId="166" fontId="1" fillId="0" borderId="2" xfId="0" applyNumberFormat="1" applyFont="1" applyBorder="1" applyAlignment="1" applyProtection="1">
      <alignment horizontal="left" vertical="center"/>
      <protection locked="0"/>
    </xf>
    <xf numFmtId="0" fontId="1" fillId="0" borderId="0" xfId="0" applyFont="1" applyAlignment="1">
      <alignment horizontal="right" vertical="center"/>
    </xf>
    <xf numFmtId="0" fontId="5" fillId="22" borderId="0" xfId="0" applyFont="1" applyFill="1" applyAlignment="1">
      <alignment vertical="center"/>
    </xf>
    <xf numFmtId="0" fontId="1" fillId="22" borderId="0" xfId="0" applyFont="1" applyFill="1" applyAlignment="1">
      <alignment vertical="center"/>
    </xf>
    <xf numFmtId="166" fontId="1" fillId="22" borderId="0" xfId="0" applyNumberFormat="1" applyFont="1" applyFill="1" applyAlignment="1">
      <alignment horizontal="left" vertical="center"/>
    </xf>
    <xf numFmtId="170" fontId="1" fillId="22" borderId="0" xfId="0" applyNumberFormat="1" applyFont="1" applyFill="1" applyAlignment="1">
      <alignment horizontal="left" vertical="center"/>
    </xf>
    <xf numFmtId="0" fontId="1" fillId="22" borderId="0" xfId="0" applyFont="1" applyFill="1" applyAlignment="1">
      <alignment horizontal="left" vertical="center"/>
    </xf>
    <xf numFmtId="3" fontId="1" fillId="22" borderId="0" xfId="0" applyNumberFormat="1" applyFont="1" applyFill="1" applyAlignment="1">
      <alignment horizontal="left" vertical="center"/>
    </xf>
    <xf numFmtId="0" fontId="3" fillId="22" borderId="0" xfId="0" applyFont="1" applyFill="1" applyAlignment="1">
      <alignment horizontal="center" vertical="center"/>
    </xf>
    <xf numFmtId="0" fontId="1" fillId="12" borderId="0" xfId="0" applyFont="1" applyFill="1" applyAlignment="1">
      <alignment horizontal="left" vertical="center"/>
    </xf>
    <xf numFmtId="0" fontId="3" fillId="12" borderId="0" xfId="0" applyFont="1" applyFill="1" applyAlignment="1">
      <alignment horizontal="center" vertical="center"/>
    </xf>
    <xf numFmtId="0" fontId="9" fillId="0" borderId="0" xfId="0" applyFont="1" applyAlignment="1" applyProtection="1">
      <alignment horizontal="center" vertical="center"/>
      <protection locked="0"/>
    </xf>
    <xf numFmtId="0" fontId="3" fillId="10" borderId="0" xfId="0" applyFont="1" applyFill="1" applyAlignment="1">
      <alignment horizontal="center" vertical="center"/>
    </xf>
    <xf numFmtId="0" fontId="3" fillId="13" borderId="0" xfId="0" applyFont="1" applyFill="1" applyAlignment="1">
      <alignment horizontal="center" vertical="center"/>
    </xf>
    <xf numFmtId="166" fontId="1" fillId="3" borderId="2" xfId="0" applyNumberFormat="1" applyFont="1" applyFill="1" applyBorder="1" applyAlignment="1" applyProtection="1">
      <alignment horizontal="left" vertical="center"/>
      <protection locked="0"/>
    </xf>
    <xf numFmtId="4" fontId="1" fillId="3" borderId="17" xfId="0" applyNumberFormat="1" applyFont="1" applyFill="1" applyBorder="1" applyAlignment="1" applyProtection="1">
      <alignment vertical="center"/>
      <protection locked="0"/>
    </xf>
    <xf numFmtId="4" fontId="1" fillId="22" borderId="0" xfId="0" applyNumberFormat="1" applyFont="1" applyFill="1" applyAlignment="1">
      <alignment horizontal="left" vertical="center"/>
    </xf>
    <xf numFmtId="0" fontId="3" fillId="8" borderId="0" xfId="0" applyFont="1" applyFill="1" applyAlignment="1">
      <alignment horizontal="right" vertical="center"/>
    </xf>
    <xf numFmtId="0" fontId="47" fillId="8" borderId="0" xfId="0" applyFont="1" applyFill="1" applyAlignment="1">
      <alignment horizontal="right" vertical="center"/>
    </xf>
    <xf numFmtId="164" fontId="48" fillId="8" borderId="0" xfId="0" applyNumberFormat="1" applyFont="1" applyFill="1" applyAlignment="1">
      <alignment horizontal="left" vertical="center"/>
    </xf>
    <xf numFmtId="0" fontId="48" fillId="8" borderId="0" xfId="0" applyFont="1" applyFill="1" applyAlignment="1">
      <alignment horizontal="left" vertical="center"/>
    </xf>
    <xf numFmtId="164" fontId="48" fillId="8" borderId="12" xfId="0" applyNumberFormat="1" applyFont="1" applyFill="1" applyBorder="1" applyAlignment="1">
      <alignment horizontal="left" vertical="center"/>
    </xf>
    <xf numFmtId="0" fontId="48" fillId="8" borderId="12" xfId="0" applyFont="1" applyFill="1" applyBorder="1" applyAlignment="1">
      <alignment horizontal="left" vertical="center"/>
    </xf>
    <xf numFmtId="164" fontId="47" fillId="8" borderId="0" xfId="0" applyNumberFormat="1" applyFont="1" applyFill="1" applyAlignment="1">
      <alignment horizontal="left"/>
    </xf>
    <xf numFmtId="0" fontId="47" fillId="8" borderId="0" xfId="0" applyFont="1" applyFill="1" applyAlignment="1">
      <alignment horizontal="left"/>
    </xf>
    <xf numFmtId="3" fontId="48" fillId="8" borderId="12" xfId="0" applyNumberFormat="1" applyFont="1" applyFill="1" applyBorder="1" applyAlignment="1">
      <alignment horizontal="left" vertical="center"/>
    </xf>
    <xf numFmtId="164" fontId="49" fillId="9" borderId="1" xfId="0" applyNumberFormat="1" applyFont="1" applyFill="1" applyBorder="1" applyAlignment="1">
      <alignment horizontal="left" vertical="center"/>
    </xf>
    <xf numFmtId="0" fontId="49" fillId="9" borderId="1" xfId="0" applyFont="1" applyFill="1" applyBorder="1" applyAlignment="1">
      <alignment horizontal="left" vertical="center"/>
    </xf>
    <xf numFmtId="0" fontId="33" fillId="8" borderId="0" xfId="0" applyFont="1" applyFill="1" applyAlignment="1">
      <alignment horizontal="center" vertical="center"/>
    </xf>
    <xf numFmtId="3" fontId="1" fillId="10" borderId="0" xfId="0" applyNumberFormat="1" applyFont="1" applyFill="1" applyAlignment="1">
      <alignment horizontal="right" vertical="center"/>
    </xf>
    <xf numFmtId="0" fontId="1" fillId="5" borderId="0" xfId="0" applyFont="1" applyFill="1" applyAlignment="1">
      <alignment horizontal="center" vertical="center"/>
    </xf>
    <xf numFmtId="0" fontId="42" fillId="8" borderId="0" xfId="0" applyFont="1" applyFill="1"/>
    <xf numFmtId="0" fontId="0" fillId="3" borderId="0" xfId="0" applyFill="1"/>
    <xf numFmtId="0" fontId="5" fillId="3" borderId="0" xfId="0" applyFont="1" applyFill="1"/>
    <xf numFmtId="0" fontId="0" fillId="3" borderId="0" xfId="0" applyFill="1" applyAlignment="1">
      <alignment wrapText="1"/>
    </xf>
    <xf numFmtId="0" fontId="5" fillId="3" borderId="0" xfId="0" applyFont="1" applyFill="1" applyAlignment="1">
      <alignment wrapText="1"/>
    </xf>
    <xf numFmtId="0" fontId="17" fillId="3" borderId="0" xfId="2" applyFill="1" applyAlignment="1">
      <alignment vertical="center"/>
    </xf>
    <xf numFmtId="0" fontId="0" fillId="8" borderId="0" xfId="0" applyFill="1" applyAlignment="1">
      <alignment horizontal="left"/>
    </xf>
    <xf numFmtId="0" fontId="0" fillId="23" borderId="0" xfId="0" applyFill="1"/>
    <xf numFmtId="0" fontId="0" fillId="8" borderId="0" xfId="0" applyFill="1" applyAlignment="1">
      <alignment wrapText="1"/>
    </xf>
    <xf numFmtId="0" fontId="17" fillId="8" borderId="0" xfId="2" applyFill="1" applyAlignment="1">
      <alignment vertical="center"/>
    </xf>
    <xf numFmtId="0" fontId="5" fillId="8" borderId="0" xfId="0" applyFont="1" applyFill="1"/>
    <xf numFmtId="0" fontId="1" fillId="5" borderId="0" xfId="0" applyFont="1" applyFill="1" applyAlignment="1">
      <alignment horizontal="right" vertical="center"/>
    </xf>
    <xf numFmtId="0" fontId="38" fillId="14" borderId="0" xfId="0" applyFont="1" applyFill="1" applyAlignment="1">
      <alignment horizontal="center" vertical="center"/>
    </xf>
    <xf numFmtId="0" fontId="1" fillId="0" borderId="3" xfId="0" applyFont="1" applyBorder="1" applyAlignment="1" applyProtection="1">
      <alignment horizontal="left" vertical="center"/>
      <protection locked="0"/>
    </xf>
    <xf numFmtId="0" fontId="1" fillId="0" borderId="4" xfId="0" applyFont="1" applyBorder="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9" xfId="0" applyFont="1" applyBorder="1" applyAlignment="1" applyProtection="1">
      <alignment horizontal="left" vertical="center"/>
      <protection locked="0"/>
    </xf>
    <xf numFmtId="0" fontId="1" fillId="0" borderId="10" xfId="0" applyFont="1" applyBorder="1" applyAlignment="1" applyProtection="1">
      <alignment horizontal="left" vertical="center"/>
      <protection locked="0"/>
    </xf>
    <xf numFmtId="0" fontId="1" fillId="0" borderId="11" xfId="0" applyFont="1" applyBorder="1" applyAlignment="1" applyProtection="1">
      <alignment horizontal="left" vertical="center"/>
      <protection locked="0"/>
    </xf>
    <xf numFmtId="0" fontId="1" fillId="8" borderId="0" xfId="0" applyFont="1" applyFill="1" applyAlignment="1">
      <alignment horizontal="left" vertical="center" wrapText="1"/>
    </xf>
    <xf numFmtId="0" fontId="1" fillId="8" borderId="0" xfId="0" applyFont="1" applyFill="1" applyAlignment="1">
      <alignment horizontal="left" vertical="center"/>
    </xf>
    <xf numFmtId="0" fontId="1" fillId="0" borderId="6" xfId="0" applyFont="1" applyBorder="1" applyAlignment="1" applyProtection="1">
      <alignment horizontal="left" vertical="center"/>
      <protection locked="0"/>
    </xf>
    <xf numFmtId="0" fontId="1" fillId="0" borderId="7" xfId="0" applyFont="1" applyBorder="1" applyAlignment="1" applyProtection="1">
      <alignment horizontal="left" vertical="center"/>
      <protection locked="0"/>
    </xf>
    <xf numFmtId="0" fontId="1" fillId="0" borderId="8" xfId="0" applyFont="1" applyBorder="1" applyAlignment="1" applyProtection="1">
      <alignment horizontal="left" vertical="center"/>
      <protection locked="0"/>
    </xf>
    <xf numFmtId="0" fontId="12" fillId="8" borderId="0" xfId="0" applyFont="1" applyFill="1" applyAlignment="1">
      <alignment horizontal="left" vertical="top" wrapText="1"/>
    </xf>
    <xf numFmtId="0" fontId="1" fillId="5" borderId="0" xfId="0" applyFont="1" applyFill="1" applyAlignment="1">
      <alignment horizontal="left" vertical="top" wrapText="1"/>
    </xf>
    <xf numFmtId="0" fontId="6" fillId="7" borderId="0" xfId="0" applyFont="1" applyFill="1" applyAlignment="1">
      <alignment horizontal="left" vertical="top" wrapText="1"/>
    </xf>
    <xf numFmtId="0" fontId="1" fillId="0" borderId="3" xfId="0" applyFont="1" applyBorder="1" applyAlignment="1" applyProtection="1">
      <alignment horizontal="left" vertical="top" wrapText="1"/>
      <protection locked="0"/>
    </xf>
    <xf numFmtId="0" fontId="1" fillId="0" borderId="4" xfId="0" applyFont="1" applyBorder="1" applyAlignment="1" applyProtection="1">
      <alignment horizontal="left" vertical="top" wrapText="1"/>
      <protection locked="0"/>
    </xf>
    <xf numFmtId="0" fontId="1" fillId="0" borderId="5" xfId="0" applyFont="1" applyBorder="1" applyAlignment="1" applyProtection="1">
      <alignment horizontal="left" vertical="top" wrapText="1"/>
      <protection locked="0"/>
    </xf>
    <xf numFmtId="0" fontId="23" fillId="5" borderId="0" xfId="2" applyFont="1" applyFill="1" applyAlignment="1">
      <alignment horizontal="left" vertical="center"/>
    </xf>
    <xf numFmtId="0" fontId="5" fillId="2" borderId="0" xfId="0" applyFont="1" applyFill="1" applyAlignment="1">
      <alignment horizontal="left" vertical="center" wrapText="1"/>
    </xf>
    <xf numFmtId="0" fontId="1" fillId="0" borderId="3" xfId="1" applyNumberFormat="1" applyFont="1" applyFill="1" applyBorder="1" applyAlignment="1" applyProtection="1">
      <alignment horizontal="left" vertical="top" wrapText="1"/>
      <protection locked="0"/>
    </xf>
    <xf numFmtId="0" fontId="1" fillId="0" borderId="4" xfId="1" applyNumberFormat="1" applyFont="1" applyFill="1" applyBorder="1" applyAlignment="1" applyProtection="1">
      <alignment horizontal="left" vertical="top" wrapText="1"/>
      <protection locked="0"/>
    </xf>
    <xf numFmtId="0" fontId="1" fillId="0" borderId="5" xfId="1" applyNumberFormat="1" applyFont="1" applyFill="1" applyBorder="1" applyAlignment="1" applyProtection="1">
      <alignment horizontal="left" vertical="top" wrapText="1"/>
      <protection locked="0"/>
    </xf>
    <xf numFmtId="0" fontId="1" fillId="0" borderId="3" xfId="1" applyNumberFormat="1" applyFont="1" applyFill="1" applyBorder="1" applyAlignment="1" applyProtection="1">
      <alignment horizontal="left" vertical="top"/>
      <protection locked="0"/>
    </xf>
    <xf numFmtId="0" fontId="1" fillId="0" borderId="4" xfId="1" applyNumberFormat="1" applyFont="1" applyFill="1" applyBorder="1" applyAlignment="1" applyProtection="1">
      <alignment horizontal="left" vertical="top"/>
      <protection locked="0"/>
    </xf>
    <xf numFmtId="0" fontId="1" fillId="0" borderId="5" xfId="1" applyNumberFormat="1" applyFont="1" applyFill="1" applyBorder="1" applyAlignment="1" applyProtection="1">
      <alignment horizontal="left" vertical="top"/>
      <protection locked="0"/>
    </xf>
    <xf numFmtId="0" fontId="6" fillId="0" borderId="0" xfId="0" applyFont="1" applyAlignment="1">
      <alignment horizontal="left" vertical="top" wrapText="1"/>
    </xf>
    <xf numFmtId="0" fontId="1" fillId="6" borderId="0" xfId="0" applyFont="1" applyFill="1" applyAlignment="1">
      <alignment horizontal="left" vertical="top" wrapText="1"/>
    </xf>
    <xf numFmtId="0" fontId="1" fillId="3" borderId="3" xfId="0" applyFont="1" applyFill="1"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1" fillId="3" borderId="4" xfId="0" applyFont="1" applyFill="1" applyBorder="1" applyAlignment="1" applyProtection="1">
      <alignment horizontal="left" vertical="center"/>
      <protection locked="0"/>
    </xf>
    <xf numFmtId="0" fontId="1" fillId="3" borderId="5" xfId="0" applyFont="1" applyFill="1" applyBorder="1" applyAlignment="1" applyProtection="1">
      <alignment horizontal="left" vertical="center"/>
      <protection locked="0"/>
    </xf>
    <xf numFmtId="0" fontId="23" fillId="3" borderId="3" xfId="2" applyFont="1" applyFill="1" applyBorder="1" applyAlignment="1" applyProtection="1">
      <alignment horizontal="left" vertical="center"/>
      <protection locked="0"/>
    </xf>
    <xf numFmtId="0" fontId="1" fillId="0" borderId="9" xfId="0" applyFont="1" applyBorder="1" applyAlignment="1" applyProtection="1">
      <alignment horizontal="left" vertical="top" wrapText="1"/>
      <protection locked="0"/>
    </xf>
    <xf numFmtId="0" fontId="23" fillId="6" borderId="0" xfId="2" applyFont="1" applyFill="1" applyAlignment="1">
      <alignment horizontal="left" vertical="center"/>
    </xf>
    <xf numFmtId="0" fontId="1" fillId="3" borderId="3" xfId="0" applyFont="1" applyFill="1" applyBorder="1" applyAlignment="1" applyProtection="1">
      <alignment horizontal="left" vertical="top" wrapText="1"/>
      <protection locked="0"/>
    </xf>
    <xf numFmtId="0" fontId="1" fillId="3" borderId="4" xfId="0" applyFont="1" applyFill="1" applyBorder="1" applyAlignment="1" applyProtection="1">
      <alignment horizontal="left" vertical="top" wrapText="1"/>
      <protection locked="0"/>
    </xf>
    <xf numFmtId="0" fontId="1" fillId="3" borderId="5" xfId="0" applyFont="1" applyFill="1" applyBorder="1" applyAlignment="1" applyProtection="1">
      <alignment horizontal="left" vertical="top" wrapText="1"/>
      <protection locked="0"/>
    </xf>
    <xf numFmtId="0" fontId="5" fillId="8" borderId="0" xfId="0" applyFont="1" applyFill="1" applyAlignment="1">
      <alignment horizontal="left" vertical="center"/>
    </xf>
    <xf numFmtId="0" fontId="1" fillId="12" borderId="0" xfId="0" applyFont="1" applyFill="1" applyAlignment="1">
      <alignment horizontal="left" vertical="top" wrapText="1"/>
    </xf>
    <xf numFmtId="0" fontId="3" fillId="5" borderId="0" xfId="0" applyFont="1" applyFill="1" applyAlignment="1">
      <alignment horizontal="left" vertical="top" wrapText="1"/>
    </xf>
    <xf numFmtId="0" fontId="1" fillId="10" borderId="0" xfId="0" applyFont="1" applyFill="1" applyAlignment="1">
      <alignment horizontal="left" vertical="top"/>
    </xf>
    <xf numFmtId="3" fontId="1" fillId="12" borderId="0" xfId="0" applyNumberFormat="1" applyFont="1" applyFill="1" applyAlignment="1">
      <alignment horizontal="right" vertical="center"/>
    </xf>
    <xf numFmtId="0" fontId="1" fillId="22" borderId="0" xfId="0" applyFont="1" applyFill="1" applyAlignment="1">
      <alignment horizontal="left" vertical="top" wrapText="1"/>
    </xf>
    <xf numFmtId="165" fontId="1" fillId="12" borderId="0" xfId="0" applyNumberFormat="1" applyFont="1" applyFill="1" applyAlignment="1">
      <alignment horizontal="left" vertical="center"/>
    </xf>
    <xf numFmtId="165" fontId="0" fillId="12" borderId="0" xfId="0" applyNumberFormat="1" applyFill="1" applyAlignment="1">
      <alignment horizontal="left" vertical="center"/>
    </xf>
    <xf numFmtId="0" fontId="1" fillId="10" borderId="0" xfId="0" applyFont="1" applyFill="1" applyAlignment="1">
      <alignment horizontal="left" vertical="center"/>
    </xf>
    <xf numFmtId="0" fontId="5" fillId="8" borderId="0" xfId="0" applyFont="1" applyFill="1" applyAlignment="1">
      <alignment horizontal="center" vertical="center"/>
    </xf>
    <xf numFmtId="0" fontId="46" fillId="2" borderId="0" xfId="0" applyFont="1" applyFill="1" applyAlignment="1">
      <alignment horizontal="center" vertical="center"/>
    </xf>
    <xf numFmtId="0" fontId="6" fillId="2" borderId="0" xfId="0" applyFont="1" applyFill="1" applyAlignment="1">
      <alignment horizontal="center" vertical="center" wrapText="1"/>
    </xf>
    <xf numFmtId="0" fontId="45" fillId="6" borderId="0" xfId="2" applyFont="1" applyFill="1" applyAlignment="1">
      <alignment horizontal="left" vertical="center"/>
    </xf>
    <xf numFmtId="0" fontId="0" fillId="3" borderId="0" xfId="0" applyFill="1" applyAlignment="1">
      <alignment horizontal="left" wrapText="1"/>
    </xf>
    <xf numFmtId="0" fontId="5" fillId="3" borderId="0" xfId="0" applyFont="1" applyFill="1" applyAlignment="1">
      <alignment horizontal="left"/>
    </xf>
    <xf numFmtId="166" fontId="0" fillId="3" borderId="0" xfId="0" applyNumberFormat="1" applyFill="1" applyAlignment="1">
      <alignment horizontal="left" wrapText="1"/>
    </xf>
    <xf numFmtId="0" fontId="0" fillId="3" borderId="0" xfId="0" quotePrefix="1" applyFill="1" applyAlignment="1">
      <alignment horizontal="left" wrapText="1"/>
    </xf>
    <xf numFmtId="0" fontId="0" fillId="8" borderId="0" xfId="0" applyFill="1" applyAlignment="1">
      <alignment horizontal="left" vertical="top" wrapText="1"/>
    </xf>
    <xf numFmtId="0" fontId="1" fillId="0" borderId="0" xfId="0" applyFont="1" applyFill="1" applyAlignment="1">
      <alignment horizontal="left" vertical="center"/>
    </xf>
  </cellXfs>
  <cellStyles count="3">
    <cellStyle name="Komma" xfId="1" builtinId="3"/>
    <cellStyle name="Link" xfId="2" builtinId="8"/>
    <cellStyle name="Standard" xfId="0" builtinId="0"/>
  </cellStyles>
  <dxfs count="9">
    <dxf>
      <fill>
        <patternFill>
          <bgColor rgb="FFFFC000"/>
        </patternFill>
      </fill>
    </dxf>
    <dxf>
      <font>
        <color theme="0"/>
      </font>
      <fill>
        <patternFill>
          <bgColor rgb="FFFF0000"/>
        </patternFill>
      </fill>
    </dxf>
    <dxf>
      <fill>
        <patternFill>
          <bgColor rgb="FF92D050"/>
        </patternFill>
      </fill>
    </dxf>
    <dxf>
      <font>
        <color theme="0"/>
      </font>
      <fill>
        <patternFill>
          <bgColor rgb="FF00B050"/>
        </patternFill>
      </fill>
    </dxf>
    <dxf>
      <fill>
        <patternFill>
          <bgColor theme="0"/>
        </patternFill>
      </fill>
    </dxf>
    <dxf>
      <fill>
        <patternFill>
          <bgColor theme="0"/>
        </patternFill>
      </fill>
    </dxf>
    <dxf>
      <font>
        <b/>
        <i val="0"/>
        <color theme="0"/>
      </font>
      <fill>
        <patternFill>
          <bgColor rgb="FFC00000"/>
        </patternFill>
      </fill>
    </dxf>
    <dxf>
      <font>
        <color theme="0"/>
      </font>
      <fill>
        <patternFill>
          <bgColor rgb="FFC00000"/>
        </patternFill>
      </fill>
    </dxf>
    <dxf>
      <font>
        <b/>
        <i val="0"/>
        <color theme="0"/>
      </font>
      <fill>
        <patternFill>
          <bgColor theme="9"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Radio" firstButton="1" fmlaLink="Gesuch!$N$134" lockText="1" noThreeD="1"/>
</file>

<file path=xl/ctrlProps/ctrlProp10.xml><?xml version="1.0" encoding="utf-8"?>
<formControlPr xmlns="http://schemas.microsoft.com/office/spreadsheetml/2009/9/main" objectType="CheckBox" fmlaLink="Datensatz!$Z$2" lockText="1" noThreeD="1"/>
</file>

<file path=xl/ctrlProps/ctrlProp11.xml><?xml version="1.0" encoding="utf-8"?>
<formControlPr xmlns="http://schemas.microsoft.com/office/spreadsheetml/2009/9/main" objectType="CheckBox" fmlaLink="Datensatz!$Y$2" lockText="1" noThreeD="1"/>
</file>

<file path=xl/ctrlProps/ctrlProp12.xml><?xml version="1.0" encoding="utf-8"?>
<formControlPr xmlns="http://schemas.microsoft.com/office/spreadsheetml/2009/9/main" objectType="CheckBox" fmlaLink="Datensatz!$AM$2" lockText="1" noThreeD="1"/>
</file>

<file path=xl/ctrlProps/ctrlProp13.xml><?xml version="1.0" encoding="utf-8"?>
<formControlPr xmlns="http://schemas.microsoft.com/office/spreadsheetml/2009/9/main" objectType="CheckBox" fmlaLink="Datensatz!$AA$2" lockText="1" noThreeD="1"/>
</file>

<file path=xl/ctrlProps/ctrlProp14.xml><?xml version="1.0" encoding="utf-8"?>
<formControlPr xmlns="http://schemas.microsoft.com/office/spreadsheetml/2009/9/main" objectType="CheckBox" fmlaLink="Datensatz!$AL$2" lockText="1" noThreeD="1"/>
</file>

<file path=xl/ctrlProps/ctrlProp15.xml><?xml version="1.0" encoding="utf-8"?>
<formControlPr xmlns="http://schemas.microsoft.com/office/spreadsheetml/2009/9/main" objectType="CheckBox" fmlaLink="Datensatz!$AK$2" lockText="1" noThreeD="1"/>
</file>

<file path=xl/ctrlProps/ctrlProp16.xml><?xml version="1.0" encoding="utf-8"?>
<formControlPr xmlns="http://schemas.microsoft.com/office/spreadsheetml/2009/9/main" objectType="CheckBox" fmlaLink="Datensatz!$AJ$2" lockText="1" noThreeD="1"/>
</file>

<file path=xl/ctrlProps/ctrlProp17.xml><?xml version="1.0" encoding="utf-8"?>
<formControlPr xmlns="http://schemas.microsoft.com/office/spreadsheetml/2009/9/main" objectType="CheckBox" fmlaLink="Datensatz!$AN$2" lockText="1" noThreeD="1"/>
</file>

<file path=xl/ctrlProps/ctrlProp18.xml><?xml version="1.0" encoding="utf-8"?>
<formControlPr xmlns="http://schemas.microsoft.com/office/spreadsheetml/2009/9/main" objectType="CheckBox" fmlaLink="Datensatz!$AE$2" lockText="1" noThreeD="1"/>
</file>

<file path=xl/ctrlProps/ctrlProp19.xml><?xml version="1.0" encoding="utf-8"?>
<formControlPr xmlns="http://schemas.microsoft.com/office/spreadsheetml/2009/9/main" objectType="CheckBox" fmlaLink="Datensatz!$AH$2" lockText="1" noThreeD="1"/>
</file>

<file path=xl/ctrlProps/ctrlProp2.xml><?xml version="1.0" encoding="utf-8"?>
<formControlPr xmlns="http://schemas.microsoft.com/office/spreadsheetml/2009/9/main" objectType="Radio" checked="Checked" lockText="1" noThreeD="1"/>
</file>

<file path=xl/ctrlProps/ctrlProp20.xml><?xml version="1.0" encoding="utf-8"?>
<formControlPr xmlns="http://schemas.microsoft.com/office/spreadsheetml/2009/9/main" objectType="CheckBox" fmlaLink="Datensatz!$AG$2" lockText="1" noThreeD="1"/>
</file>

<file path=xl/ctrlProps/ctrlProp21.xml><?xml version="1.0" encoding="utf-8"?>
<formControlPr xmlns="http://schemas.microsoft.com/office/spreadsheetml/2009/9/main" objectType="CheckBox" fmlaLink="Datensatz!$AF$2" lockText="1" noThreeD="1"/>
</file>

<file path=xl/ctrlProps/ctrlProp22.xml><?xml version="1.0" encoding="utf-8"?>
<formControlPr xmlns="http://schemas.microsoft.com/office/spreadsheetml/2009/9/main" objectType="CheckBox" fmlaLink="Datensatz!$AI$2" lockText="1" noThreeD="1"/>
</file>

<file path=xl/ctrlProps/ctrlProp23.xml><?xml version="1.0" encoding="utf-8"?>
<formControlPr xmlns="http://schemas.microsoft.com/office/spreadsheetml/2009/9/main" objectType="CheckBox" fmlaLink="Datensatz!$BX$2" lockText="1" noThreeD="1"/>
</file>

<file path=xl/ctrlProps/ctrlProp24.xml><?xml version="1.0" encoding="utf-8"?>
<formControlPr xmlns="http://schemas.microsoft.com/office/spreadsheetml/2009/9/main" objectType="CheckBox" fmlaLink="Datensatz!$BV$2" lockText="1" noThreeD="1"/>
</file>

<file path=xl/ctrlProps/ctrlProp25.xml><?xml version="1.0" encoding="utf-8"?>
<formControlPr xmlns="http://schemas.microsoft.com/office/spreadsheetml/2009/9/main" objectType="CheckBox" fmlaLink="Datensatz!$BW$2" lockText="1" noThreeD="1"/>
</file>

<file path=xl/ctrlProps/ctrlProp26.xml><?xml version="1.0" encoding="utf-8"?>
<formControlPr xmlns="http://schemas.microsoft.com/office/spreadsheetml/2009/9/main" objectType="Drop" dropLines="14" dropStyle="combo" dx="26" fmlaLink="$J$7" fmlaRange="Referenzen!$B$71:$B$84" noThreeD="1" sel="1" val="0"/>
</file>

<file path=xl/ctrlProps/ctrlProp27.xml><?xml version="1.0" encoding="utf-8"?>
<formControlPr xmlns="http://schemas.microsoft.com/office/spreadsheetml/2009/9/main" objectType="Drop" dropLines="3" dropStyle="combo" dx="26" fmlaLink="$J$13" fmlaRange="Referenzen!$E$88:$E$90" noThreeD="1" sel="1" val="0"/>
</file>

<file path=xl/ctrlProps/ctrlProp28.xml><?xml version="1.0" encoding="utf-8"?>
<formControlPr xmlns="http://schemas.microsoft.com/office/spreadsheetml/2009/9/main" objectType="CheckBox" fmlaLink="Datensatz!$CC$2" lockText="1" noThreeD="1"/>
</file>

<file path=xl/ctrlProps/ctrlProp29.xml><?xml version="1.0" encoding="utf-8"?>
<formControlPr xmlns="http://schemas.microsoft.com/office/spreadsheetml/2009/9/main" objectType="CheckBox" fmlaLink="Datensatz!$CD$2" lockText="1" noThreeD="1"/>
</file>

<file path=xl/ctrlProps/ctrlProp3.xml><?xml version="1.0" encoding="utf-8"?>
<formControlPr xmlns="http://schemas.microsoft.com/office/spreadsheetml/2009/9/main" objectType="CheckBox" fmlaLink="Datensatz!$BO$2" lockText="1" noThreeD="1"/>
</file>

<file path=xl/ctrlProps/ctrlProp30.xml><?xml version="1.0" encoding="utf-8"?>
<formControlPr xmlns="http://schemas.microsoft.com/office/spreadsheetml/2009/9/main" objectType="CheckBox" fmlaLink="Datensatz!$BZ$2" lockText="1" noThreeD="1"/>
</file>

<file path=xl/ctrlProps/ctrlProp31.xml><?xml version="1.0" encoding="utf-8"?>
<formControlPr xmlns="http://schemas.microsoft.com/office/spreadsheetml/2009/9/main" objectType="CheckBox" fmlaLink="Datensatz!$CE$2" noThreeD="1"/>
</file>

<file path=xl/ctrlProps/ctrlProp32.xml><?xml version="1.0" encoding="utf-8"?>
<formControlPr xmlns="http://schemas.microsoft.com/office/spreadsheetml/2009/9/main" objectType="CheckBox" fmlaLink="$I$29" lockText="1" noThreeD="1"/>
</file>

<file path=xl/ctrlProps/ctrlProp33.xml><?xml version="1.0" encoding="utf-8"?>
<formControlPr xmlns="http://schemas.microsoft.com/office/spreadsheetml/2009/9/main" objectType="CheckBox" fmlaLink="$J$29" lockText="1" noThreeD="1"/>
</file>

<file path=xl/ctrlProps/ctrlProp34.xml><?xml version="1.0" encoding="utf-8"?>
<formControlPr xmlns="http://schemas.microsoft.com/office/spreadsheetml/2009/9/main" objectType="CheckBox" fmlaLink="Datensatz!$AB$2" lockText="1" noThreeD="1"/>
</file>

<file path=xl/ctrlProps/ctrlProp35.xml><?xml version="1.0" encoding="utf-8"?>
<formControlPr xmlns="http://schemas.microsoft.com/office/spreadsheetml/2009/9/main" objectType="CheckBox" fmlaLink="Datensatz!$AC$2" lockText="1" noThreeD="1"/>
</file>

<file path=xl/ctrlProps/ctrlProp36.xml><?xml version="1.0" encoding="utf-8"?>
<formControlPr xmlns="http://schemas.microsoft.com/office/spreadsheetml/2009/9/main" objectType="CheckBox" fmlaLink="Datensatz!$M$2" lockText="1" noThreeD="1"/>
</file>

<file path=xl/ctrlProps/ctrlProp37.xml><?xml version="1.0" encoding="utf-8"?>
<formControlPr xmlns="http://schemas.microsoft.com/office/spreadsheetml/2009/9/main" objectType="CheckBox" fmlaLink="Datensatz!$CB$2" lockText="1" noThreeD="1"/>
</file>

<file path=xl/ctrlProps/ctrlProp38.xml><?xml version="1.0" encoding="utf-8"?>
<formControlPr xmlns="http://schemas.microsoft.com/office/spreadsheetml/2009/9/main" objectType="CheckBox" fmlaLink="Datensatz!$BY$2" lockText="1" noThreeD="1"/>
</file>

<file path=xl/ctrlProps/ctrlProp39.xml><?xml version="1.0" encoding="utf-8"?>
<formControlPr xmlns="http://schemas.microsoft.com/office/spreadsheetml/2009/9/main" objectType="CheckBox" fmlaLink="Datensatz!$CA$2" lockText="1" noThreeD="1"/>
</file>

<file path=xl/ctrlProps/ctrlProp4.xml><?xml version="1.0" encoding="utf-8"?>
<formControlPr xmlns="http://schemas.microsoft.com/office/spreadsheetml/2009/9/main" objectType="CheckBox" fmlaLink="Datensatz!$BN$2" lockText="1" noThreeD="1"/>
</file>

<file path=xl/ctrlProps/ctrlProp40.xml><?xml version="1.0" encoding="utf-8"?>
<formControlPr xmlns="http://schemas.microsoft.com/office/spreadsheetml/2009/9/main" objectType="Drop" dropLines="3" dropStyle="combo" dx="26" fmlaLink="$J$106" fmlaRange="Referenzen!$D$36:$D$38" noThreeD="1" sel="1" val="0"/>
</file>

<file path=xl/ctrlProps/ctrlProp41.xml><?xml version="1.0" encoding="utf-8"?>
<formControlPr xmlns="http://schemas.microsoft.com/office/spreadsheetml/2009/9/main" objectType="Drop" dropLines="21" dropStyle="combo" dx="26" fmlaLink="$J$107" fmlaRange="Referenzen!$B$47:$B$67" noThreeD="1" sel="1" val="0"/>
</file>

<file path=xl/ctrlProps/ctrlProp42.xml><?xml version="1.0" encoding="utf-8"?>
<formControlPr xmlns="http://schemas.microsoft.com/office/spreadsheetml/2009/9/main" objectType="Drop" dropStyle="combo" dx="26" fmlaLink="$J$95" fmlaRange="Referenzen!$D$8:$D$15" noThreeD="1" sel="1" val="0"/>
</file>

<file path=xl/ctrlProps/ctrlProp43.xml><?xml version="1.0" encoding="utf-8"?>
<formControlPr xmlns="http://schemas.microsoft.com/office/spreadsheetml/2009/9/main" objectType="Drop" dropLines="5" dropStyle="combo" dx="26" fmlaLink="N186" fmlaRange="Referenzen!$C$88:$C$92" noThreeD="1" sel="1" val="0"/>
</file>

<file path=xl/ctrlProps/ctrlProp5.xml><?xml version="1.0" encoding="utf-8"?>
<formControlPr xmlns="http://schemas.microsoft.com/office/spreadsheetml/2009/9/main" objectType="CheckBox" fmlaLink="Datensatz!$BL$2" lockText="1" noThreeD="1"/>
</file>

<file path=xl/ctrlProps/ctrlProp6.xml><?xml version="1.0" encoding="utf-8"?>
<formControlPr xmlns="http://schemas.microsoft.com/office/spreadsheetml/2009/9/main" objectType="CheckBox" fmlaLink="Datensatz!$BM$2" lockText="1" noThreeD="1"/>
</file>

<file path=xl/ctrlProps/ctrlProp7.xml><?xml version="1.0" encoding="utf-8"?>
<formControlPr xmlns="http://schemas.microsoft.com/office/spreadsheetml/2009/9/main" objectType="Drop" dropStyle="combo" dx="26" fmlaLink="$J$91" fmlaRange="Referenzen!$D$8:$D$15" noThreeD="1" sel="1" val="0"/>
</file>

<file path=xl/ctrlProps/ctrlProp8.xml><?xml version="1.0" encoding="utf-8"?>
<formControlPr xmlns="http://schemas.microsoft.com/office/spreadsheetml/2009/9/main" objectType="Drop" dropLines="3" dropStyle="combo" dx="26" fmlaLink="$J$103" fmlaRange="Referenzen!$D$36:$D$38" noThreeD="1" sel="1" val="0"/>
</file>

<file path=xl/ctrlProps/ctrlProp9.xml><?xml version="1.0" encoding="utf-8"?>
<formControlPr xmlns="http://schemas.microsoft.com/office/spreadsheetml/2009/9/main" objectType="Drop" dropLines="23" dropStyle="combo" dx="26" fmlaLink="$J$104" fmlaRange="Referenzen!$B$47:$B$67"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274320</xdr:colOff>
          <xdr:row>132</xdr:row>
          <xdr:rowOff>198120</xdr:rowOff>
        </xdr:from>
        <xdr:to>
          <xdr:col>4</xdr:col>
          <xdr:colOff>1021080</xdr:colOff>
          <xdr:row>134</xdr:row>
          <xdr:rowOff>0</xdr:rowOff>
        </xdr:to>
        <xdr:sp macro="" textlink="">
          <xdr:nvSpPr>
            <xdr:cNvPr id="5166" name="Option Button 46" hidden="1">
              <a:extLst>
                <a:ext uri="{63B3BB69-23CF-44E3-9099-C40C66FF867C}">
                  <a14:compatExt spid="_x0000_s5166"/>
                </a:ext>
                <a:ext uri="{FF2B5EF4-FFF2-40B4-BE49-F238E27FC236}">
                  <a16:creationId xmlns:a16="http://schemas.microsoft.com/office/drawing/2014/main" id="{00000000-0008-0000-0000-00002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Reasonable Assurance Report (ISAE 3000 rev) über die obigen Angaben liegt bei.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131</xdr:row>
          <xdr:rowOff>190500</xdr:rowOff>
        </xdr:from>
        <xdr:to>
          <xdr:col>4</xdr:col>
          <xdr:colOff>746760</xdr:colOff>
          <xdr:row>132</xdr:row>
          <xdr:rowOff>198120</xdr:rowOff>
        </xdr:to>
        <xdr:sp macro="" textlink="">
          <xdr:nvSpPr>
            <xdr:cNvPr id="5165" name="Option Button 45" hidden="1">
              <a:extLst>
                <a:ext uri="{63B3BB69-23CF-44E3-9099-C40C66FF867C}">
                  <a14:compatExt spid="_x0000_s5165"/>
                </a:ext>
                <a:ext uri="{FF2B5EF4-FFF2-40B4-BE49-F238E27FC236}">
                  <a16:creationId xmlns:a16="http://schemas.microsoft.com/office/drawing/2014/main" id="{00000000-0008-0000-0000-00002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Limited Assurance Report (ISAE 3000 rev) über die obigen Angaben liegt bei.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130</xdr:row>
          <xdr:rowOff>144780</xdr:rowOff>
        </xdr:from>
        <xdr:to>
          <xdr:col>4</xdr:col>
          <xdr:colOff>731520</xdr:colOff>
          <xdr:row>132</xdr:row>
          <xdr:rowOff>60960</xdr:rowOff>
        </xdr:to>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000-00002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Ein Beleg mit den Daten für die Berechnung der Emissionsintensität 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129</xdr:row>
          <xdr:rowOff>144780</xdr:rowOff>
        </xdr:from>
        <xdr:to>
          <xdr:col>4</xdr:col>
          <xdr:colOff>830580</xdr:colOff>
          <xdr:row>131</xdr:row>
          <xdr:rowOff>60960</xdr:rowOff>
        </xdr:to>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0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Die Messgrösse für die Berechnung der Emissionsintensität ist branchenüblich.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127</xdr:row>
          <xdr:rowOff>144780</xdr:rowOff>
        </xdr:from>
        <xdr:to>
          <xdr:col>4</xdr:col>
          <xdr:colOff>579120</xdr:colOff>
          <xdr:row>129</xdr:row>
          <xdr:rowOff>60960</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000-00001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Die Scope 3.1-Daten beruhen auf einem auditierten Treibhausgasinventar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128</xdr:row>
          <xdr:rowOff>144780</xdr:rowOff>
        </xdr:from>
        <xdr:to>
          <xdr:col>6</xdr:col>
          <xdr:colOff>533400</xdr:colOff>
          <xdr:row>130</xdr:row>
          <xdr:rowOff>60960</xdr:rowOff>
        </xdr:to>
        <xdr:sp macro="" textlink="">
          <xdr:nvSpPr>
            <xdr:cNvPr id="5158" name="Check Box 38" hidden="1">
              <a:extLst>
                <a:ext uri="{63B3BB69-23CF-44E3-9099-C40C66FF867C}">
                  <a14:compatExt spid="_x0000_s5158"/>
                </a:ext>
                <a:ext uri="{FF2B5EF4-FFF2-40B4-BE49-F238E27FC236}">
                  <a16:creationId xmlns:a16="http://schemas.microsoft.com/office/drawing/2014/main" id="{00000000-0008-0000-0000-00002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Bei der Berechnung der Scope 3.1-Emissionen wurden keine Offsets oder ähnliche Instrumente eingesetzt.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1394460</xdr:colOff>
          <xdr:row>89</xdr:row>
          <xdr:rowOff>152400</xdr:rowOff>
        </xdr:from>
        <xdr:to>
          <xdr:col>5</xdr:col>
          <xdr:colOff>60960</xdr:colOff>
          <xdr:row>91</xdr:row>
          <xdr:rowOff>7620</xdr:rowOff>
        </xdr:to>
        <xdr:sp macro="" textlink="">
          <xdr:nvSpPr>
            <xdr:cNvPr id="5121" name="Drop Down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102</xdr:row>
          <xdr:rowOff>22860</xdr:rowOff>
        </xdr:from>
        <xdr:to>
          <xdr:col>5</xdr:col>
          <xdr:colOff>22860</xdr:colOff>
          <xdr:row>102</xdr:row>
          <xdr:rowOff>198120</xdr:rowOff>
        </xdr:to>
        <xdr:sp macro="" textlink="">
          <xdr:nvSpPr>
            <xdr:cNvPr id="5122" name="Drop Down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103</xdr:row>
          <xdr:rowOff>22860</xdr:rowOff>
        </xdr:from>
        <xdr:to>
          <xdr:col>7</xdr:col>
          <xdr:colOff>175260</xdr:colOff>
          <xdr:row>104</xdr:row>
          <xdr:rowOff>0</xdr:rowOff>
        </xdr:to>
        <xdr:sp macro="" textlink="">
          <xdr:nvSpPr>
            <xdr:cNvPr id="5123" name="Drop Down 3" hidden="1">
              <a:extLst>
                <a:ext uri="{63B3BB69-23CF-44E3-9099-C40C66FF867C}">
                  <a14:compatExt spid="_x0000_s5123"/>
                </a:ext>
                <a:ext uri="{FF2B5EF4-FFF2-40B4-BE49-F238E27FC236}">
                  <a16:creationId xmlns:a16="http://schemas.microsoft.com/office/drawing/2014/main" id="{00000000-0008-0000-0000-000003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11</xdr:col>
      <xdr:colOff>0</xdr:colOff>
      <xdr:row>77</xdr:row>
      <xdr:rowOff>0</xdr:rowOff>
    </xdr:from>
    <xdr:to>
      <xdr:col>14</xdr:col>
      <xdr:colOff>9525</xdr:colOff>
      <xdr:row>79</xdr:row>
      <xdr:rowOff>19050</xdr:rowOff>
    </xdr:to>
    <xdr:cxnSp macro="">
      <xdr:nvCxnSpPr>
        <xdr:cNvPr id="3" name="Gerade Verbindung mit Pfeil 2">
          <a:extLst>
            <a:ext uri="{FF2B5EF4-FFF2-40B4-BE49-F238E27FC236}">
              <a16:creationId xmlns:a16="http://schemas.microsoft.com/office/drawing/2014/main" id="{3873B6D3-A4AA-08CD-895D-9F037DA570C9}"/>
            </a:ext>
          </a:extLst>
        </xdr:cNvPr>
        <xdr:cNvCxnSpPr/>
      </xdr:nvCxnSpPr>
      <xdr:spPr>
        <a:xfrm flipV="1">
          <a:off x="7772400" y="22574250"/>
          <a:ext cx="2667000" cy="638175"/>
        </a:xfrm>
        <a:prstGeom prst="straightConnector1">
          <a:avLst/>
        </a:prstGeom>
        <a:ln w="57150">
          <a:solidFill>
            <a:srgbClr val="FF0000"/>
          </a:solidFill>
          <a:headEnd type="triangle"/>
          <a:tailEnd type="triangle"/>
        </a:ln>
      </xdr:spPr>
      <xdr:style>
        <a:lnRef idx="1">
          <a:schemeClr val="accent2"/>
        </a:lnRef>
        <a:fillRef idx="0">
          <a:schemeClr val="accent2"/>
        </a:fillRef>
        <a:effectRef idx="0">
          <a:schemeClr val="accent2"/>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0</xdr:col>
          <xdr:colOff>274320</xdr:colOff>
          <xdr:row>45</xdr:row>
          <xdr:rowOff>160020</xdr:rowOff>
        </xdr:from>
        <xdr:to>
          <xdr:col>2</xdr:col>
          <xdr:colOff>388620</xdr:colOff>
          <xdr:row>47</xdr:row>
          <xdr:rowOff>68580</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0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Idee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34</xdr:row>
          <xdr:rowOff>152400</xdr:rowOff>
        </xdr:from>
        <xdr:to>
          <xdr:col>2</xdr:col>
          <xdr:colOff>1363980</xdr:colOff>
          <xdr:row>36</xdr:row>
          <xdr:rowOff>60960</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0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Industrielle Forschung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34</xdr:row>
          <xdr:rowOff>152400</xdr:rowOff>
        </xdr:from>
        <xdr:to>
          <xdr:col>2</xdr:col>
          <xdr:colOff>83820</xdr:colOff>
          <xdr:row>36</xdr:row>
          <xdr:rowOff>60960</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Grundlagenforschung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48</xdr:row>
          <xdr:rowOff>152400</xdr:rowOff>
        </xdr:from>
        <xdr:to>
          <xdr:col>5</xdr:col>
          <xdr:colOff>106680</xdr:colOff>
          <xdr:row>50</xdr:row>
          <xdr:rowOff>60960</xdr:rowOff>
        </xdr:to>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000-00001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Erstes kommerzielles System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1379220</xdr:colOff>
          <xdr:row>34</xdr:row>
          <xdr:rowOff>152400</xdr:rowOff>
        </xdr:from>
        <xdr:to>
          <xdr:col>4</xdr:col>
          <xdr:colOff>967740</xdr:colOff>
          <xdr:row>36</xdr:row>
          <xdr:rowOff>60960</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0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Experimentelle Entwicklung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48</xdr:row>
          <xdr:rowOff>160020</xdr:rowOff>
        </xdr:from>
        <xdr:to>
          <xdr:col>2</xdr:col>
          <xdr:colOff>388620</xdr:colOff>
          <xdr:row>50</xdr:row>
          <xdr:rowOff>68580</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Angewandte Forschung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47</xdr:row>
          <xdr:rowOff>152400</xdr:rowOff>
        </xdr:from>
        <xdr:to>
          <xdr:col>5</xdr:col>
          <xdr:colOff>106680</xdr:colOff>
          <xdr:row>49</xdr:row>
          <xdr:rowOff>60960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Demonstrationssystem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47</xdr:row>
          <xdr:rowOff>160020</xdr:rowOff>
        </xdr:from>
        <xdr:to>
          <xdr:col>2</xdr:col>
          <xdr:colOff>388620</xdr:colOff>
          <xdr:row>49</xdr:row>
          <xdr:rowOff>68580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0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Technologieformulierung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46</xdr:row>
          <xdr:rowOff>160020</xdr:rowOff>
        </xdr:from>
        <xdr:to>
          <xdr:col>2</xdr:col>
          <xdr:colOff>388620</xdr:colOff>
          <xdr:row>48</xdr:row>
          <xdr:rowOff>68580</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0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Grundlagenforschung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49</xdr:row>
          <xdr:rowOff>160020</xdr:rowOff>
        </xdr:from>
        <xdr:to>
          <xdr:col>2</xdr:col>
          <xdr:colOff>388620</xdr:colOff>
          <xdr:row>51</xdr:row>
          <xdr:rowOff>68580</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Prototyp in kleinem Massstab</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46</xdr:row>
          <xdr:rowOff>152400</xdr:rowOff>
        </xdr:from>
        <xdr:to>
          <xdr:col>5</xdr:col>
          <xdr:colOff>106680</xdr:colOff>
          <xdr:row>48</xdr:row>
          <xdr:rowOff>60960</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0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Prototypsystem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45</xdr:row>
          <xdr:rowOff>152400</xdr:rowOff>
        </xdr:from>
        <xdr:to>
          <xdr:col>5</xdr:col>
          <xdr:colOff>114300</xdr:colOff>
          <xdr:row>47</xdr:row>
          <xdr:rowOff>60960</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0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Prototyp in grossem Massstab</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49</xdr:row>
          <xdr:rowOff>152400</xdr:rowOff>
        </xdr:from>
        <xdr:to>
          <xdr:col>6</xdr:col>
          <xdr:colOff>525780</xdr:colOff>
          <xdr:row>51</xdr:row>
          <xdr:rowOff>60960</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Vollständige kommerzielle Anwendung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162</xdr:row>
          <xdr:rowOff>152400</xdr:rowOff>
        </xdr:from>
        <xdr:to>
          <xdr:col>6</xdr:col>
          <xdr:colOff>114300</xdr:colOff>
          <xdr:row>164</xdr:row>
          <xdr:rowOff>68580</xdr:rowOff>
        </xdr:to>
        <xdr:sp macro="" textlink="">
          <xdr:nvSpPr>
            <xdr:cNvPr id="5171" name="Check Box 51" hidden="1">
              <a:extLst>
                <a:ext uri="{63B3BB69-23CF-44E3-9099-C40C66FF867C}">
                  <a14:compatExt spid="_x0000_s5171"/>
                </a:ext>
                <a:ext uri="{FF2B5EF4-FFF2-40B4-BE49-F238E27FC236}">
                  <a16:creationId xmlns:a16="http://schemas.microsoft.com/office/drawing/2014/main" id="{00000000-0008-0000-0000-00003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Bei Förderantrag aufgrund CO2-Reduktion: im entsprechenden Formularteil aufgelistete Beilagen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160</xdr:row>
          <xdr:rowOff>152400</xdr:rowOff>
        </xdr:from>
        <xdr:to>
          <xdr:col>4</xdr:col>
          <xdr:colOff>152400</xdr:colOff>
          <xdr:row>162</xdr:row>
          <xdr:rowOff>68580</xdr:rowOff>
        </xdr:to>
        <xdr:sp macro="" textlink="">
          <xdr:nvSpPr>
            <xdr:cNvPr id="5172" name="Check Box 52" hidden="1">
              <a:extLst>
                <a:ext uri="{63B3BB69-23CF-44E3-9099-C40C66FF867C}">
                  <a14:compatExt spid="_x0000_s5172"/>
                </a:ext>
                <a:ext uri="{FF2B5EF4-FFF2-40B4-BE49-F238E27FC236}">
                  <a16:creationId xmlns:a16="http://schemas.microsoft.com/office/drawing/2014/main" id="{00000000-0008-0000-0000-00003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Detaillierte Übersicht mit Berechnungen der fraglichen Grössen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162</xdr:row>
          <xdr:rowOff>15240</xdr:rowOff>
        </xdr:from>
        <xdr:to>
          <xdr:col>6</xdr:col>
          <xdr:colOff>518160</xdr:colOff>
          <xdr:row>162</xdr:row>
          <xdr:rowOff>198120</xdr:rowOff>
        </xdr:to>
        <xdr:sp macro="" textlink="">
          <xdr:nvSpPr>
            <xdr:cNvPr id="5173" name="Check Box 53" hidden="1">
              <a:extLst>
                <a:ext uri="{63B3BB69-23CF-44E3-9099-C40C66FF867C}">
                  <a14:compatExt spid="_x0000_s5173"/>
                </a:ext>
                <a:ext uri="{FF2B5EF4-FFF2-40B4-BE49-F238E27FC236}">
                  <a16:creationId xmlns:a16="http://schemas.microsoft.com/office/drawing/2014/main" id="{00000000-0008-0000-0000-00003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Beleg mit Basisdaten für Berechnungen (u.a. ordentlich revidierte Jahresrechnung mit Revisionsbericht)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xdr:row>
          <xdr:rowOff>0</xdr:rowOff>
        </xdr:from>
        <xdr:to>
          <xdr:col>5</xdr:col>
          <xdr:colOff>22860</xdr:colOff>
          <xdr:row>6</xdr:row>
          <xdr:rowOff>198120</xdr:rowOff>
        </xdr:to>
        <xdr:sp macro="" textlink="">
          <xdr:nvSpPr>
            <xdr:cNvPr id="5174" name="Drop Down 54" hidden="1">
              <a:extLst>
                <a:ext uri="{63B3BB69-23CF-44E3-9099-C40C66FF867C}">
                  <a14:compatExt spid="_x0000_s5174"/>
                </a:ext>
                <a:ext uri="{FF2B5EF4-FFF2-40B4-BE49-F238E27FC236}">
                  <a16:creationId xmlns:a16="http://schemas.microsoft.com/office/drawing/2014/main" id="{00000000-0008-0000-0000-000036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xdr:row>
          <xdr:rowOff>0</xdr:rowOff>
        </xdr:from>
        <xdr:to>
          <xdr:col>5</xdr:col>
          <xdr:colOff>22860</xdr:colOff>
          <xdr:row>12</xdr:row>
          <xdr:rowOff>198120</xdr:rowOff>
        </xdr:to>
        <xdr:sp macro="" textlink="">
          <xdr:nvSpPr>
            <xdr:cNvPr id="5175" name="Drop Down 55" hidden="1">
              <a:extLst>
                <a:ext uri="{63B3BB69-23CF-44E3-9099-C40C66FF867C}">
                  <a14:compatExt spid="_x0000_s5175"/>
                </a:ext>
                <a:ext uri="{FF2B5EF4-FFF2-40B4-BE49-F238E27FC236}">
                  <a16:creationId xmlns:a16="http://schemas.microsoft.com/office/drawing/2014/main" id="{00000000-0008-0000-0000-000037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170</xdr:row>
          <xdr:rowOff>0</xdr:rowOff>
        </xdr:from>
        <xdr:to>
          <xdr:col>7</xdr:col>
          <xdr:colOff>335280</xdr:colOff>
          <xdr:row>170</xdr:row>
          <xdr:rowOff>327660</xdr:rowOff>
        </xdr:to>
        <xdr:sp macro="" textlink="">
          <xdr:nvSpPr>
            <xdr:cNvPr id="5178" name="Check Box 58" descr="Für die beantragten Tätigkeiten wurden weder bisher noch aktuell staatliche Fördermittel im In- oder Ausland bezogen. Es ist auch kein entsprechender Antrag anderweitig pendent." hidden="1">
              <a:extLst>
                <a:ext uri="{63B3BB69-23CF-44E3-9099-C40C66FF867C}">
                  <a14:compatExt spid="_x0000_s5178"/>
                </a:ext>
                <a:ext uri="{FF2B5EF4-FFF2-40B4-BE49-F238E27FC236}">
                  <a16:creationId xmlns:a16="http://schemas.microsoft.com/office/drawing/2014/main" id="{00000000-0008-0000-0000-00003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Für die beantragten Tätigkeiten wurden weder bisher noch aktuell staatliche Fördermittel im In- oder Ausland bezogen. Es ist auch kein entsprechender Antrag anderweitig pendent.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170</xdr:row>
          <xdr:rowOff>342900</xdr:rowOff>
        </xdr:from>
        <xdr:to>
          <xdr:col>7</xdr:col>
          <xdr:colOff>198120</xdr:colOff>
          <xdr:row>171</xdr:row>
          <xdr:rowOff>304800</xdr:rowOff>
        </xdr:to>
        <xdr:sp macro="" textlink="">
          <xdr:nvSpPr>
            <xdr:cNvPr id="5179" name="Check Box 59" hidden="1">
              <a:extLst>
                <a:ext uri="{63B3BB69-23CF-44E3-9099-C40C66FF867C}">
                  <a14:compatExt spid="_x0000_s5179"/>
                </a:ext>
                <a:ext uri="{FF2B5EF4-FFF2-40B4-BE49-F238E27FC236}">
                  <a16:creationId xmlns:a16="http://schemas.microsoft.com/office/drawing/2014/main" id="{00000000-0008-0000-0000-00003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Ich nehme die Rückerstattungspflicht für die gewährten Förderbeiträge bei Verlagerung ins Ausland innerhalb von 3 Jahren zur Kenntnis (§ 9 Abs. 1 Bst. b GSE).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165</xdr:row>
          <xdr:rowOff>0</xdr:rowOff>
        </xdr:from>
        <xdr:to>
          <xdr:col>6</xdr:col>
          <xdr:colOff>922020</xdr:colOff>
          <xdr:row>166</xdr:row>
          <xdr:rowOff>0</xdr:rowOff>
        </xdr:to>
        <xdr:sp macro="" textlink="">
          <xdr:nvSpPr>
            <xdr:cNvPr id="5181" name="Check Box 61" hidden="1">
              <a:extLst>
                <a:ext uri="{63B3BB69-23CF-44E3-9099-C40C66FF867C}">
                  <a14:compatExt spid="_x0000_s5181"/>
                </a:ext>
                <a:ext uri="{FF2B5EF4-FFF2-40B4-BE49-F238E27FC236}">
                  <a16:creationId xmlns:a16="http://schemas.microsoft.com/office/drawing/2014/main" id="{00000000-0008-0000-0000-00003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Betreibungsregisterauszug der Unternehmung, für die die Förderung beantragt wird (nicht älter als ein Jahr)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171</xdr:row>
          <xdr:rowOff>312420</xdr:rowOff>
        </xdr:from>
        <xdr:to>
          <xdr:col>7</xdr:col>
          <xdr:colOff>152400</xdr:colOff>
          <xdr:row>173</xdr:row>
          <xdr:rowOff>68580</xdr:rowOff>
        </xdr:to>
        <xdr:sp macro="" textlink="">
          <xdr:nvSpPr>
            <xdr:cNvPr id="5182" name="Check Box 62" descr="Ich bestätige, dass keine überfälligen finanziellen Ausstände bei schweizerischen Behörden vorhanden sind."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Ich bestätige, dass keine finanziellen Ausstände bei Behörden vorhanden sind.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693420</xdr:colOff>
          <xdr:row>28</xdr:row>
          <xdr:rowOff>0</xdr:rowOff>
        </xdr:from>
        <xdr:to>
          <xdr:col>4</xdr:col>
          <xdr:colOff>327660</xdr:colOff>
          <xdr:row>29</xdr:row>
          <xdr:rowOff>15240</xdr:rowOff>
        </xdr:to>
        <xdr:sp macro="" textlink="">
          <xdr:nvSpPr>
            <xdr:cNvPr id="5188" name="Check Box 68" hidden="1">
              <a:extLst>
                <a:ext uri="{63B3BB69-23CF-44E3-9099-C40C66FF867C}">
                  <a14:compatExt spid="_x0000_s5188"/>
                </a:ext>
                <a:ext uri="{FF2B5EF4-FFF2-40B4-BE49-F238E27FC236}">
                  <a16:creationId xmlns:a16="http://schemas.microsoft.com/office/drawing/2014/main" id="{00000000-0008-0000-0000-00004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Aufwandseitige Innovationsförderung (blaues Feld)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28</xdr:row>
          <xdr:rowOff>0</xdr:rowOff>
        </xdr:from>
        <xdr:to>
          <xdr:col>6</xdr:col>
          <xdr:colOff>594360</xdr:colOff>
          <xdr:row>29</xdr:row>
          <xdr:rowOff>15240</xdr:rowOff>
        </xdr:to>
        <xdr:sp macro="" textlink="">
          <xdr:nvSpPr>
            <xdr:cNvPr id="5189" name="Check Box 69" hidden="1">
              <a:extLst>
                <a:ext uri="{63B3BB69-23CF-44E3-9099-C40C66FF867C}">
                  <a14:compatExt spid="_x0000_s5189"/>
                </a:ext>
                <a:ext uri="{FF2B5EF4-FFF2-40B4-BE49-F238E27FC236}">
                  <a16:creationId xmlns:a16="http://schemas.microsoft.com/office/drawing/2014/main" id="{00000000-0008-0000-0000-00004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CO2-Reduktion (oranges Feld)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1043940</xdr:colOff>
          <xdr:row>34</xdr:row>
          <xdr:rowOff>137160</xdr:rowOff>
        </xdr:from>
        <xdr:to>
          <xdr:col>6</xdr:col>
          <xdr:colOff>335280</xdr:colOff>
          <xdr:row>36</xdr:row>
          <xdr:rowOff>76200</xdr:rowOff>
        </xdr:to>
        <xdr:sp macro="" textlink="">
          <xdr:nvSpPr>
            <xdr:cNvPr id="5190" name="Check Box 70" hidden="1">
              <a:extLst>
                <a:ext uri="{63B3BB69-23CF-44E3-9099-C40C66FF867C}">
                  <a14:compatExt spid="_x0000_s5190"/>
                </a:ext>
                <a:ext uri="{FF2B5EF4-FFF2-40B4-BE49-F238E27FC236}">
                  <a16:creationId xmlns:a16="http://schemas.microsoft.com/office/drawing/2014/main" id="{00000000-0008-0000-0000-00004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Immat. Güter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480060</xdr:colOff>
          <xdr:row>34</xdr:row>
          <xdr:rowOff>99060</xdr:rowOff>
        </xdr:from>
        <xdr:to>
          <xdr:col>7</xdr:col>
          <xdr:colOff>350520</xdr:colOff>
          <xdr:row>36</xdr:row>
          <xdr:rowOff>114300</xdr:rowOff>
        </xdr:to>
        <xdr:sp macro="" textlink="">
          <xdr:nvSpPr>
            <xdr:cNvPr id="5191" name="Check Box 71" hidden="1">
              <a:extLst>
                <a:ext uri="{63B3BB69-23CF-44E3-9099-C40C66FF867C}">
                  <a14:compatExt spid="_x0000_s5191"/>
                </a:ext>
                <a:ext uri="{FF2B5EF4-FFF2-40B4-BE49-F238E27FC236}">
                  <a16:creationId xmlns:a16="http://schemas.microsoft.com/office/drawing/2014/main" id="{00000000-0008-0000-0000-00004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Klinische Studien in 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1028700</xdr:colOff>
          <xdr:row>14</xdr:row>
          <xdr:rowOff>198120</xdr:rowOff>
        </xdr:from>
        <xdr:to>
          <xdr:col>3</xdr:col>
          <xdr:colOff>129540</xdr:colOff>
          <xdr:row>16</xdr:row>
          <xdr:rowOff>53340</xdr:rowOff>
        </xdr:to>
        <xdr:sp macro="" textlink="">
          <xdr:nvSpPr>
            <xdr:cNvPr id="5192" name="Check Box 72" hidden="1">
              <a:extLst>
                <a:ext uri="{63B3BB69-23CF-44E3-9099-C40C66FF867C}">
                  <a14:compatExt spid="_x0000_s5192"/>
                </a:ext>
                <a:ext uri="{FF2B5EF4-FFF2-40B4-BE49-F238E27FC236}">
                  <a16:creationId xmlns:a16="http://schemas.microsoft.com/office/drawing/2014/main" id="{00000000-0008-0000-0000-00004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Vertretung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166</xdr:row>
          <xdr:rowOff>190500</xdr:rowOff>
        </xdr:from>
        <xdr:to>
          <xdr:col>6</xdr:col>
          <xdr:colOff>114300</xdr:colOff>
          <xdr:row>167</xdr:row>
          <xdr:rowOff>198120</xdr:rowOff>
        </xdr:to>
        <xdr:sp macro="" textlink="">
          <xdr:nvSpPr>
            <xdr:cNvPr id="5193" name="Check Box 73" hidden="1">
              <a:extLst>
                <a:ext uri="{63B3BB69-23CF-44E3-9099-C40C66FF867C}">
                  <a14:compatExt spid="_x0000_s5193"/>
                </a:ext>
                <a:ext uri="{FF2B5EF4-FFF2-40B4-BE49-F238E27FC236}">
                  <a16:creationId xmlns:a16="http://schemas.microsoft.com/office/drawing/2014/main" id="{00000000-0008-0000-0000-00004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Falls Sie das Gesuch als Vertreter (Anwalt/Treuhänder usw.) einreichen, legen Sie die Vollmacht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163</xdr:row>
          <xdr:rowOff>198120</xdr:rowOff>
        </xdr:from>
        <xdr:to>
          <xdr:col>6</xdr:col>
          <xdr:colOff>868680</xdr:colOff>
          <xdr:row>165</xdr:row>
          <xdr:rowOff>22860</xdr:rowOff>
        </xdr:to>
        <xdr:sp macro="" textlink="">
          <xdr:nvSpPr>
            <xdr:cNvPr id="5194" name="Check Box 74" hidden="1">
              <a:extLst>
                <a:ext uri="{63B3BB69-23CF-44E3-9099-C40C66FF867C}">
                  <a14:compatExt spid="_x0000_s5194"/>
                </a:ext>
                <a:ext uri="{FF2B5EF4-FFF2-40B4-BE49-F238E27FC236}">
                  <a16:creationId xmlns:a16="http://schemas.microsoft.com/office/drawing/2014/main" id="{00000000-0008-0000-0000-00004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Erste Seite der aktuellsten Unternehmenssteuererklärung mit Pers-ID und Angaben zur steuerpflichtigen Person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274320</xdr:colOff>
          <xdr:row>165</xdr:row>
          <xdr:rowOff>198120</xdr:rowOff>
        </xdr:from>
        <xdr:to>
          <xdr:col>6</xdr:col>
          <xdr:colOff>114300</xdr:colOff>
          <xdr:row>167</xdr:row>
          <xdr:rowOff>0</xdr:rowOff>
        </xdr:to>
        <xdr:sp macro="" textlink="">
          <xdr:nvSpPr>
            <xdr:cNvPr id="5195" name="Check Box 75" hidden="1">
              <a:extLst>
                <a:ext uri="{63B3BB69-23CF-44E3-9099-C40C66FF867C}">
                  <a14:compatExt spid="_x0000_s5195"/>
                </a:ext>
                <a:ext uri="{FF2B5EF4-FFF2-40B4-BE49-F238E27FC236}">
                  <a16:creationId xmlns:a16="http://schemas.microsoft.com/office/drawing/2014/main" id="{00000000-0008-0000-0000-00004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CH" sz="800" b="0" i="0" u="none" strike="noStrike" baseline="0">
                  <a:solidFill>
                    <a:srgbClr val="000000"/>
                  </a:solidFill>
                  <a:latin typeface="Segoe UI"/>
                  <a:cs typeface="Segoe UI"/>
                </a:rPr>
                <a:t>Amtliches Ausweisdokument (Pass, ID) der Kontaktperson mit elektronischer Unterschrift (QES)</a:t>
              </a:r>
            </a:p>
          </xdr:txBody>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105</xdr:row>
          <xdr:rowOff>22860</xdr:rowOff>
        </xdr:from>
        <xdr:to>
          <xdr:col>10</xdr:col>
          <xdr:colOff>22860</xdr:colOff>
          <xdr:row>105</xdr:row>
          <xdr:rowOff>198120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106</xdr:row>
          <xdr:rowOff>22860</xdr:rowOff>
        </xdr:from>
        <xdr:to>
          <xdr:col>12</xdr:col>
          <xdr:colOff>175260</xdr:colOff>
          <xdr:row>107</xdr:row>
          <xdr:rowOff>0</xdr:rowOff>
        </xdr:to>
        <xdr:sp macro="" textlink="">
          <xdr:nvSpPr>
            <xdr:cNvPr id="11267" name="Drop Down 3" hidden="1">
              <a:extLst>
                <a:ext uri="{63B3BB69-23CF-44E3-9099-C40C66FF867C}">
                  <a14:compatExt spid="_x0000_s11267"/>
                </a:ext>
                <a:ext uri="{FF2B5EF4-FFF2-40B4-BE49-F238E27FC236}">
                  <a16:creationId xmlns:a16="http://schemas.microsoft.com/office/drawing/2014/main" id="{00000000-0008-0000-0100-000003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16</xdr:col>
      <xdr:colOff>0</xdr:colOff>
      <xdr:row>81</xdr:row>
      <xdr:rowOff>0</xdr:rowOff>
    </xdr:from>
    <xdr:to>
      <xdr:col>19</xdr:col>
      <xdr:colOff>9525</xdr:colOff>
      <xdr:row>83</xdr:row>
      <xdr:rowOff>19050</xdr:rowOff>
    </xdr:to>
    <xdr:cxnSp macro="">
      <xdr:nvCxnSpPr>
        <xdr:cNvPr id="2" name="Gerade Verbindung mit Pfeil 1">
          <a:extLst>
            <a:ext uri="{FF2B5EF4-FFF2-40B4-BE49-F238E27FC236}">
              <a16:creationId xmlns:a16="http://schemas.microsoft.com/office/drawing/2014/main" id="{F657F569-4D12-42F0-B522-4E9E9BA838A1}"/>
            </a:ext>
          </a:extLst>
        </xdr:cNvPr>
        <xdr:cNvCxnSpPr/>
      </xdr:nvCxnSpPr>
      <xdr:spPr>
        <a:xfrm flipV="1">
          <a:off x="7772400" y="13935075"/>
          <a:ext cx="2667000" cy="638175"/>
        </a:xfrm>
        <a:prstGeom prst="straightConnector1">
          <a:avLst/>
        </a:prstGeom>
        <a:ln w="57150">
          <a:solidFill>
            <a:srgbClr val="FF0000"/>
          </a:solidFill>
          <a:headEnd type="triangle"/>
          <a:tailEnd type="triangle"/>
        </a:ln>
      </xdr:spPr>
      <xdr:style>
        <a:lnRef idx="1">
          <a:schemeClr val="accent2"/>
        </a:lnRef>
        <a:fillRef idx="0">
          <a:schemeClr val="accent2"/>
        </a:fillRef>
        <a:effectRef idx="0">
          <a:schemeClr val="accent2"/>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8</xdr:col>
          <xdr:colOff>137160</xdr:colOff>
          <xdr:row>93</xdr:row>
          <xdr:rowOff>121920</xdr:rowOff>
        </xdr:from>
        <xdr:to>
          <xdr:col>11</xdr:col>
          <xdr:colOff>335280</xdr:colOff>
          <xdr:row>94</xdr:row>
          <xdr:rowOff>198120</xdr:rowOff>
        </xdr:to>
        <xdr:sp macro="" textlink="">
          <xdr:nvSpPr>
            <xdr:cNvPr id="11271" name="Drop Down 7" hidden="1">
              <a:extLst>
                <a:ext uri="{63B3BB69-23CF-44E3-9099-C40C66FF867C}">
                  <a14:compatExt spid="_x0000_s11271"/>
                </a:ext>
                <a:ext uri="{FF2B5EF4-FFF2-40B4-BE49-F238E27FC236}">
                  <a16:creationId xmlns:a16="http://schemas.microsoft.com/office/drawing/2014/main" id="{00000000-0008-0000-0100-000007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731520</xdr:colOff>
          <xdr:row>185</xdr:row>
          <xdr:rowOff>152400</xdr:rowOff>
        </xdr:from>
        <xdr:to>
          <xdr:col>4</xdr:col>
          <xdr:colOff>1554480</xdr:colOff>
          <xdr:row>185</xdr:row>
          <xdr:rowOff>381000</xdr:rowOff>
        </xdr:to>
        <xdr:sp macro="" textlink="">
          <xdr:nvSpPr>
            <xdr:cNvPr id="11272" name="Drop Down 8" hidden="1">
              <a:extLst>
                <a:ext uri="{63B3BB69-23CF-44E3-9099-C40C66FF867C}">
                  <a14:compatExt spid="_x0000_s11272"/>
                </a:ext>
                <a:ext uri="{FF2B5EF4-FFF2-40B4-BE49-F238E27FC236}">
                  <a16:creationId xmlns:a16="http://schemas.microsoft.com/office/drawing/2014/main" id="{00000000-0008-0000-0100-000008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3" Type="http://schemas.openxmlformats.org/officeDocument/2006/relationships/hyperlink" Target="https://bgs.zg.ch/app/de/texts_of_law/632.1" TargetMode="Externa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7" Type="http://schemas.openxmlformats.org/officeDocument/2006/relationships/ctrlProp" Target="../ctrlProps/ctrlProp1.xml"/><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2" Type="http://schemas.openxmlformats.org/officeDocument/2006/relationships/hyperlink" Target="https://economy.zg.ch/de/cluster" TargetMode="External"/><Relationship Id="rId16" Type="http://schemas.openxmlformats.org/officeDocument/2006/relationships/ctrlProp" Target="../ctrlProps/ctrlProp10.xml"/><Relationship Id="rId20" Type="http://schemas.openxmlformats.org/officeDocument/2006/relationships/ctrlProp" Target="../ctrlProps/ctrlProp14.xml"/><Relationship Id="rId29" Type="http://schemas.openxmlformats.org/officeDocument/2006/relationships/ctrlProp" Target="../ctrlProps/ctrlProp23.xml"/><Relationship Id="rId41" Type="http://schemas.openxmlformats.org/officeDocument/2006/relationships/ctrlProp" Target="../ctrlProps/ctrlProp35.xml"/><Relationship Id="rId1" Type="http://schemas.openxmlformats.org/officeDocument/2006/relationships/hyperlink" Target="mailto:gse-hotline@zg.ch" TargetMode="External"/><Relationship Id="rId6" Type="http://schemas.openxmlformats.org/officeDocument/2006/relationships/vmlDrawing" Target="../drawings/vmlDrawing1.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drawing" Target="../drawings/drawing1.x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printerSettings" Target="../printerSettings/printerSettings1.bin"/><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2.xml"/><Relationship Id="rId3" Type="http://schemas.openxmlformats.org/officeDocument/2006/relationships/printerSettings" Target="../printerSettings/printerSettings2.bin"/><Relationship Id="rId7" Type="http://schemas.openxmlformats.org/officeDocument/2006/relationships/ctrlProp" Target="../ctrlProps/ctrlProp41.xml"/><Relationship Id="rId2" Type="http://schemas.openxmlformats.org/officeDocument/2006/relationships/hyperlink" Target="https://bgs.zg.ch/app/de/texts_of_law/632.1" TargetMode="External"/><Relationship Id="rId1" Type="http://schemas.openxmlformats.org/officeDocument/2006/relationships/hyperlink" Target="https://economy.zg.ch/de/cluster" TargetMode="External"/><Relationship Id="rId6" Type="http://schemas.openxmlformats.org/officeDocument/2006/relationships/ctrlProp" Target="../ctrlProps/ctrlProp40.xml"/><Relationship Id="rId5" Type="http://schemas.openxmlformats.org/officeDocument/2006/relationships/vmlDrawing" Target="../drawings/vmlDrawing2.vml"/><Relationship Id="rId4" Type="http://schemas.openxmlformats.org/officeDocument/2006/relationships/drawing" Target="../drawings/drawing2.xml"/><Relationship Id="rId9" Type="http://schemas.openxmlformats.org/officeDocument/2006/relationships/ctrlProp" Target="../ctrlProps/ctrlProp43.xml"/></Relationships>
</file>

<file path=xl/worksheets/_rels/sheet6.xml.rels><?xml version="1.0" encoding="UTF-8" standalone="yes"?>
<Relationships xmlns="http://schemas.openxmlformats.org/package/2006/relationships"><Relationship Id="rId3" Type="http://schemas.openxmlformats.org/officeDocument/2006/relationships/hyperlink" Target="mailto:meryem.dogan@zg.ch" TargetMode="External"/><Relationship Id="rId2" Type="http://schemas.openxmlformats.org/officeDocument/2006/relationships/hyperlink" Target="mailto:info.og.gerichtskasse@zg.ch" TargetMode="External"/><Relationship Id="rId1" Type="http://schemas.openxmlformats.org/officeDocument/2006/relationships/hyperlink" Target="mailto:info.vg@zg.ch" TargetMode="External"/><Relationship Id="rId6" Type="http://schemas.openxmlformats.org/officeDocument/2006/relationships/hyperlink" Target="mailto:felix.koepfli@zg.ch" TargetMode="External"/><Relationship Id="rId5" Type="http://schemas.openxmlformats.org/officeDocument/2006/relationships/hyperlink" Target="mailto:buchhaltung.kfv@zg.ch" TargetMode="External"/><Relationship Id="rId4" Type="http://schemas.openxmlformats.org/officeDocument/2006/relationships/hyperlink" Target="mailto:simon.schlumpf@zg.ch"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economy.zg.ch/it/cluster" TargetMode="External"/><Relationship Id="rId2" Type="http://schemas.openxmlformats.org/officeDocument/2006/relationships/hyperlink" Target="https://www.rab-asr.ch/" TargetMode="External"/><Relationship Id="rId1" Type="http://schemas.openxmlformats.org/officeDocument/2006/relationships/hyperlink" Target="https://ghgprotocol.org/corporate-stand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7AE1B-5D65-4DD3-A13B-A35E28C850AD}">
  <sheetPr codeName="Tabelle1"/>
  <dimension ref="A1:Y191"/>
  <sheetViews>
    <sheetView showGridLines="0" tabSelected="1" workbookViewId="0">
      <selection activeCell="E6" sqref="E6:G6"/>
    </sheetView>
  </sheetViews>
  <sheetFormatPr baseColWidth="10" defaultColWidth="10.8984375" defaultRowHeight="16.5" customHeight="1" x14ac:dyDescent="0.3"/>
  <cols>
    <col min="1" max="1" width="4.3984375" style="5" customWidth="1"/>
    <col min="2" max="2" width="14.09765625" style="1" customWidth="1"/>
    <col min="3" max="3" width="22.19921875" style="1" customWidth="1"/>
    <col min="4" max="4" width="2.09765625" style="1" customWidth="1"/>
    <col min="5" max="5" width="18" style="1" customWidth="1"/>
    <col min="6" max="6" width="2.09765625" style="1" customWidth="1"/>
    <col min="7" max="7" width="19.59765625" style="1" customWidth="1"/>
    <col min="8" max="8" width="4.8984375" style="1" customWidth="1"/>
    <col min="9" max="9" width="9.69921875" style="1" hidden="1" customWidth="1"/>
    <col min="10" max="10" width="10.59765625" style="1" hidden="1" customWidth="1"/>
    <col min="11" max="12" width="8" style="1" hidden="1" customWidth="1"/>
    <col min="13" max="13" width="3.59765625" style="1" hidden="1" customWidth="1"/>
    <col min="14" max="14" width="11.3984375" style="1" hidden="1" customWidth="1"/>
    <col min="15" max="15" width="10.59765625" style="1" hidden="1" customWidth="1"/>
    <col min="16" max="16" width="4.69921875" style="1" hidden="1" customWidth="1"/>
    <col min="17" max="17" width="3.5" style="1" hidden="1" customWidth="1"/>
    <col min="18" max="18" width="6.796875" style="1" hidden="1" customWidth="1"/>
    <col min="19" max="19" width="3.09765625" style="1" hidden="1" customWidth="1"/>
    <col min="20" max="20" width="3" style="1" hidden="1" customWidth="1"/>
    <col min="21" max="21" width="4" style="1" hidden="1" customWidth="1"/>
    <col min="22" max="22" width="4" style="162" hidden="1" customWidth="1"/>
    <col min="23" max="23" width="2.59765625" style="1" customWidth="1"/>
    <col min="24" max="24" width="15.296875" style="1" customWidth="1"/>
    <col min="25" max="25" width="14.5" style="1" customWidth="1"/>
    <col min="26" max="16384" width="10.8984375" style="1"/>
  </cols>
  <sheetData>
    <row r="1" spans="1:25" ht="39.75" customHeight="1" x14ac:dyDescent="0.3">
      <c r="A1" s="229" t="s">
        <v>370</v>
      </c>
      <c r="B1" s="229"/>
      <c r="C1" s="229"/>
      <c r="D1" s="229"/>
      <c r="E1" s="229"/>
      <c r="F1" s="229"/>
      <c r="G1" s="229"/>
      <c r="H1" s="229"/>
      <c r="I1" s="22"/>
      <c r="J1" s="22"/>
      <c r="K1" s="22"/>
      <c r="L1" s="22"/>
      <c r="M1" s="22"/>
      <c r="N1" s="22"/>
      <c r="O1" s="22"/>
      <c r="P1" s="22"/>
      <c r="Q1" s="22"/>
      <c r="R1" s="22"/>
      <c r="S1" s="22"/>
      <c r="T1" s="22"/>
      <c r="U1" s="22"/>
      <c r="V1" s="162">
        <v>1</v>
      </c>
      <c r="X1" s="179"/>
      <c r="Y1" s="179"/>
    </row>
    <row r="2" spans="1:25" ht="58.2" customHeight="1" x14ac:dyDescent="0.3">
      <c r="A2" s="248" t="s">
        <v>466</v>
      </c>
      <c r="B2" s="248"/>
      <c r="C2" s="248"/>
      <c r="D2" s="248"/>
      <c r="E2" s="248"/>
      <c r="F2" s="248"/>
      <c r="G2" s="248"/>
      <c r="H2" s="248"/>
      <c r="V2" s="162">
        <v>2</v>
      </c>
    </row>
    <row r="3" spans="1:25" ht="21" customHeight="1" x14ac:dyDescent="0.3">
      <c r="A3" s="157" t="s">
        <v>368</v>
      </c>
      <c r="B3" s="158"/>
      <c r="C3" s="158">
        <v>2025</v>
      </c>
      <c r="D3" s="127"/>
      <c r="E3" s="156"/>
      <c r="F3" s="6"/>
      <c r="G3" s="126" t="str">
        <f>IF(Datensatz!A3="","","Nr. "&amp;Datensatz!A3)</f>
        <v/>
      </c>
      <c r="H3" s="6"/>
      <c r="I3" s="3"/>
      <c r="V3" s="162">
        <v>3</v>
      </c>
      <c r="X3" s="67"/>
      <c r="Y3" s="67"/>
    </row>
    <row r="4" spans="1:25" ht="21" customHeight="1" x14ac:dyDescent="0.3">
      <c r="A4" s="118"/>
      <c r="B4" s="119"/>
      <c r="C4" s="119"/>
      <c r="D4" s="159" t="s">
        <v>369</v>
      </c>
      <c r="E4" s="160" t="s">
        <v>367</v>
      </c>
      <c r="F4" s="6"/>
      <c r="G4" s="6"/>
      <c r="H4" s="6"/>
      <c r="M4" s="2"/>
      <c r="V4" s="162">
        <v>4</v>
      </c>
      <c r="Y4" s="67"/>
    </row>
    <row r="5" spans="1:25" ht="21" customHeight="1" thickBot="1" x14ac:dyDescent="0.35">
      <c r="A5" s="19" t="s">
        <v>38</v>
      </c>
      <c r="B5" s="6"/>
      <c r="C5" s="6"/>
      <c r="D5" s="6"/>
      <c r="E5" s="6"/>
      <c r="F5" s="6"/>
      <c r="G5" s="6"/>
      <c r="H5" s="6"/>
      <c r="M5" s="2"/>
      <c r="V5" s="162">
        <v>5</v>
      </c>
    </row>
    <row r="6" spans="1:25" ht="16.5" customHeight="1" thickBot="1" x14ac:dyDescent="0.35">
      <c r="A6" s="7"/>
      <c r="B6" s="4" t="s">
        <v>1</v>
      </c>
      <c r="C6" s="4"/>
      <c r="D6" s="4"/>
      <c r="E6" s="230"/>
      <c r="F6" s="231"/>
      <c r="G6" s="232"/>
      <c r="H6" s="4"/>
      <c r="I6" s="1" t="s">
        <v>26</v>
      </c>
      <c r="M6" s="3"/>
      <c r="Q6" s="1">
        <f>IF(E6="",1,0)</f>
        <v>1</v>
      </c>
      <c r="R6" s="1" t="str">
        <f>IF(E6="","["&amp;B6&amp;"]","")</f>
        <v>[Name des Unternehmens]</v>
      </c>
      <c r="V6" s="162">
        <v>6</v>
      </c>
    </row>
    <row r="7" spans="1:25" ht="16.5" customHeight="1" thickBot="1" x14ac:dyDescent="0.35">
      <c r="A7" s="7"/>
      <c r="B7" s="4" t="s">
        <v>313</v>
      </c>
      <c r="C7" s="4"/>
      <c r="D7" s="4"/>
      <c r="E7" s="6"/>
      <c r="F7" s="6"/>
      <c r="G7" s="6"/>
      <c r="H7" s="4"/>
      <c r="I7" s="1" t="s">
        <v>26</v>
      </c>
      <c r="J7" s="181">
        <v>1</v>
      </c>
      <c r="M7" s="3"/>
      <c r="Q7" s="1">
        <f>IF(J7=1,1,0)</f>
        <v>1</v>
      </c>
      <c r="R7" s="1" t="str">
        <f>IF(J7=1,"["&amp;B7&amp;"]","")</f>
        <v>[Im Kanton Zug steuerpflichtig in]</v>
      </c>
      <c r="V7" s="162">
        <v>7</v>
      </c>
    </row>
    <row r="8" spans="1:25" ht="16.5" hidden="1" customHeight="1" thickBot="1" x14ac:dyDescent="0.35">
      <c r="A8" s="7"/>
      <c r="B8" s="4" t="s">
        <v>15</v>
      </c>
      <c r="C8" s="4"/>
      <c r="D8" s="4"/>
      <c r="E8" s="95"/>
      <c r="F8" s="96"/>
      <c r="G8" s="4"/>
      <c r="H8" s="4"/>
      <c r="M8" s="3"/>
      <c r="Q8" s="1">
        <v>0</v>
      </c>
      <c r="V8" s="162">
        <v>8</v>
      </c>
    </row>
    <row r="9" spans="1:25" ht="16.5" customHeight="1" thickBot="1" x14ac:dyDescent="0.35">
      <c r="A9" s="7"/>
      <c r="B9" s="6" t="s">
        <v>346</v>
      </c>
      <c r="C9" s="6"/>
      <c r="D9" s="98"/>
      <c r="E9" s="186"/>
      <c r="F9" s="6"/>
      <c r="G9" s="4"/>
      <c r="H9" s="4"/>
      <c r="I9" s="99" t="s">
        <v>54</v>
      </c>
      <c r="Q9" s="1">
        <f>IF(E9="",1,0)</f>
        <v>1</v>
      </c>
      <c r="R9" s="1" t="str">
        <f>IF(E9="","[UID]","")</f>
        <v>[UID]</v>
      </c>
      <c r="U9" s="18" t="s">
        <v>356</v>
      </c>
      <c r="V9" s="162">
        <v>9</v>
      </c>
    </row>
    <row r="10" spans="1:25" ht="16.5" customHeight="1" thickBot="1" x14ac:dyDescent="0.35">
      <c r="A10" s="7"/>
      <c r="B10" s="6" t="s">
        <v>414</v>
      </c>
      <c r="C10" s="6"/>
      <c r="D10" s="98"/>
      <c r="E10" s="177"/>
      <c r="F10" s="6"/>
      <c r="G10" s="4"/>
      <c r="H10" s="4"/>
      <c r="I10" s="99"/>
      <c r="Q10" s="1">
        <f>IF(E10="",1,0)</f>
        <v>1</v>
      </c>
      <c r="R10" s="1" t="str">
        <f>IF(E10="","[Personen-Nr.]","")</f>
        <v>[Personen-Nr.]</v>
      </c>
      <c r="U10" s="18"/>
    </row>
    <row r="11" spans="1:25" ht="16.5" customHeight="1" x14ac:dyDescent="0.3">
      <c r="A11" s="7"/>
      <c r="B11" s="6"/>
      <c r="C11" s="6"/>
      <c r="D11" s="6"/>
      <c r="E11" s="6"/>
      <c r="F11" s="6"/>
      <c r="G11" s="6"/>
      <c r="H11" s="6"/>
      <c r="I11" s="84" t="s">
        <v>53</v>
      </c>
      <c r="V11" s="162">
        <v>10</v>
      </c>
    </row>
    <row r="12" spans="1:25" ht="16.5" customHeight="1" thickBot="1" x14ac:dyDescent="0.35">
      <c r="A12" s="7" t="s">
        <v>22</v>
      </c>
      <c r="B12" s="6"/>
      <c r="C12" s="6"/>
      <c r="D12" s="6"/>
      <c r="E12" s="6"/>
      <c r="F12" s="6"/>
      <c r="G12" s="6"/>
      <c r="H12" s="6"/>
      <c r="V12" s="162">
        <v>11</v>
      </c>
    </row>
    <row r="13" spans="1:25" ht="16.5" customHeight="1" thickBot="1" x14ac:dyDescent="0.35">
      <c r="A13" s="7"/>
      <c r="B13" s="6" t="s">
        <v>16</v>
      </c>
      <c r="C13" s="6"/>
      <c r="D13" s="6"/>
      <c r="E13" s="184"/>
      <c r="F13" s="6"/>
      <c r="G13" s="4"/>
      <c r="H13" s="4"/>
      <c r="I13" s="1" t="s">
        <v>26</v>
      </c>
      <c r="J13" s="141">
        <v>1</v>
      </c>
      <c r="Q13" s="1">
        <f>IF(J13="",1,0)</f>
        <v>0</v>
      </c>
      <c r="R13" s="1" t="str">
        <f>IF(J13="","["&amp;B13&amp;"]","")</f>
        <v/>
      </c>
      <c r="V13" s="162">
        <v>12</v>
      </c>
    </row>
    <row r="14" spans="1:25" ht="16.5" customHeight="1" thickBot="1" x14ac:dyDescent="0.35">
      <c r="A14" s="7"/>
      <c r="B14" s="6" t="s">
        <v>17</v>
      </c>
      <c r="C14" s="100" t="str">
        <f>IF(E14&lt;&gt;"",IF(ISNONTEXT(E14)=TRUE,"Bitte nur Text eingeben!",""),"")</f>
        <v/>
      </c>
      <c r="D14" s="6"/>
      <c r="E14" s="257"/>
      <c r="F14" s="258"/>
      <c r="G14" s="259"/>
      <c r="H14" s="4"/>
      <c r="I14" s="1" t="s">
        <v>26</v>
      </c>
      <c r="Q14" s="1">
        <f t="shared" ref="Q14:Q21" si="0">IF(E14="",1,0)</f>
        <v>1</v>
      </c>
      <c r="R14" s="1" t="str">
        <f t="shared" ref="R14:R21" si="1">IF(E14="","["&amp;B14&amp;"]","")</f>
        <v>[Name]</v>
      </c>
      <c r="V14" s="162">
        <v>13</v>
      </c>
    </row>
    <row r="15" spans="1:25" ht="16.5" customHeight="1" thickBot="1" x14ac:dyDescent="0.35">
      <c r="A15" s="7"/>
      <c r="B15" s="6" t="s">
        <v>18</v>
      </c>
      <c r="C15" s="100" t="str">
        <f>IF(E15&lt;&gt;"",IF(ISNONTEXT(E15)=TRUE,"Bitte nur Text eingeben!",""),"")</f>
        <v/>
      </c>
      <c r="D15" s="6"/>
      <c r="E15" s="257"/>
      <c r="F15" s="258"/>
      <c r="G15" s="259"/>
      <c r="H15" s="4"/>
      <c r="I15" s="1" t="s">
        <v>26</v>
      </c>
      <c r="Q15" s="1">
        <f t="shared" si="0"/>
        <v>1</v>
      </c>
      <c r="R15" s="1" t="str">
        <f t="shared" si="1"/>
        <v>[Vorname]</v>
      </c>
      <c r="V15" s="162">
        <v>14</v>
      </c>
    </row>
    <row r="16" spans="1:25" ht="16.5" customHeight="1" thickBot="1" x14ac:dyDescent="0.35">
      <c r="A16" s="7"/>
      <c r="B16" s="6" t="s">
        <v>427</v>
      </c>
      <c r="C16" s="100"/>
      <c r="D16" s="6"/>
      <c r="E16" s="230"/>
      <c r="F16" s="231"/>
      <c r="G16" s="232"/>
      <c r="H16" s="4"/>
      <c r="I16" s="1" t="s">
        <v>26</v>
      </c>
      <c r="Q16" s="1">
        <f t="shared" si="0"/>
        <v>1</v>
      </c>
      <c r="R16" s="1" t="str">
        <f t="shared" si="1"/>
        <v>[Funktion (Vertretung: Vollmacht beilegen)]</v>
      </c>
    </row>
    <row r="17" spans="1:22" ht="16.5" customHeight="1" thickBot="1" x14ac:dyDescent="0.35">
      <c r="A17" s="7"/>
      <c r="B17" s="6" t="s">
        <v>19</v>
      </c>
      <c r="C17" s="6"/>
      <c r="D17" s="6"/>
      <c r="E17" s="257"/>
      <c r="F17" s="258"/>
      <c r="G17" s="259"/>
      <c r="H17" s="4"/>
      <c r="I17" s="1" t="s">
        <v>26</v>
      </c>
      <c r="Q17" s="1">
        <f t="shared" si="0"/>
        <v>1</v>
      </c>
      <c r="R17" s="1" t="str">
        <f t="shared" si="1"/>
        <v>[Strasse, Nr.]</v>
      </c>
      <c r="V17" s="162">
        <v>15</v>
      </c>
    </row>
    <row r="18" spans="1:22" ht="16.5" customHeight="1" thickBot="1" x14ac:dyDescent="0.35">
      <c r="A18" s="7"/>
      <c r="B18" s="6" t="s">
        <v>311</v>
      </c>
      <c r="C18" s="6"/>
      <c r="D18" s="6"/>
      <c r="E18" s="137"/>
      <c r="F18" s="6"/>
      <c r="G18" s="6"/>
      <c r="H18" s="4"/>
      <c r="I18" s="1" t="s">
        <v>182</v>
      </c>
      <c r="Q18" s="1">
        <f t="shared" si="0"/>
        <v>1</v>
      </c>
      <c r="R18" s="1" t="str">
        <f t="shared" si="1"/>
        <v>[PLZ]</v>
      </c>
      <c r="U18" s="18" t="s">
        <v>357</v>
      </c>
      <c r="V18" s="162">
        <v>16</v>
      </c>
    </row>
    <row r="19" spans="1:22" ht="16.5" customHeight="1" thickBot="1" x14ac:dyDescent="0.35">
      <c r="A19" s="7"/>
      <c r="B19" s="6" t="s">
        <v>312</v>
      </c>
      <c r="C19" s="6"/>
      <c r="D19" s="6"/>
      <c r="E19" s="257"/>
      <c r="F19" s="260"/>
      <c r="G19" s="261"/>
      <c r="H19" s="4"/>
      <c r="I19" s="99" t="s">
        <v>54</v>
      </c>
      <c r="Q19" s="1">
        <f t="shared" si="0"/>
        <v>1</v>
      </c>
      <c r="R19" s="1" t="str">
        <f t="shared" si="1"/>
        <v>[Ort]</v>
      </c>
      <c r="V19" s="162">
        <v>17</v>
      </c>
    </row>
    <row r="20" spans="1:22" ht="16.5" customHeight="1" thickBot="1" x14ac:dyDescent="0.35">
      <c r="A20" s="7"/>
      <c r="B20" s="6" t="s">
        <v>338</v>
      </c>
      <c r="C20" s="6"/>
      <c r="D20" s="6"/>
      <c r="E20" s="262"/>
      <c r="F20" s="231"/>
      <c r="G20" s="232"/>
      <c r="H20" s="4"/>
      <c r="I20" s="99" t="s">
        <v>54</v>
      </c>
      <c r="Q20" s="1">
        <f t="shared" si="0"/>
        <v>1</v>
      </c>
      <c r="R20" s="1" t="str">
        <f t="shared" si="1"/>
        <v>[E-Mail (für Rückfragen und Entscheidkommunikation)]</v>
      </c>
      <c r="V20" s="162">
        <v>18</v>
      </c>
    </row>
    <row r="21" spans="1:22" ht="16.5" customHeight="1" thickBot="1" x14ac:dyDescent="0.35">
      <c r="A21" s="7"/>
      <c r="B21" s="6" t="s">
        <v>21</v>
      </c>
      <c r="C21" s="6"/>
      <c r="D21" s="6"/>
      <c r="E21" s="138"/>
      <c r="F21" s="6"/>
      <c r="G21" s="4"/>
      <c r="H21" s="4"/>
      <c r="I21" s="99" t="s">
        <v>24</v>
      </c>
      <c r="Q21" s="1">
        <f t="shared" si="0"/>
        <v>1</v>
      </c>
      <c r="R21" s="1" t="str">
        <f t="shared" si="1"/>
        <v>[Telefon-Nr.]</v>
      </c>
      <c r="V21" s="162">
        <v>19</v>
      </c>
    </row>
    <row r="22" spans="1:22" ht="16.5" customHeight="1" x14ac:dyDescent="0.3">
      <c r="A22" s="7"/>
      <c r="B22" s="6"/>
      <c r="C22" s="6"/>
      <c r="D22" s="6"/>
      <c r="E22" s="4"/>
      <c r="F22" s="6"/>
      <c r="G22" s="4"/>
      <c r="H22" s="4"/>
      <c r="I22" s="99"/>
    </row>
    <row r="23" spans="1:22" ht="16.5" customHeight="1" thickBot="1" x14ac:dyDescent="0.35">
      <c r="A23" s="7" t="s">
        <v>374</v>
      </c>
      <c r="B23" s="6"/>
      <c r="C23" s="6"/>
      <c r="D23" s="6"/>
      <c r="E23" s="4"/>
      <c r="F23" s="6"/>
      <c r="G23" s="4"/>
      <c r="H23" s="4"/>
      <c r="I23" s="99"/>
    </row>
    <row r="24" spans="1:22" ht="16.5" customHeight="1" thickBot="1" x14ac:dyDescent="0.35">
      <c r="A24" s="7"/>
      <c r="B24" s="6" t="s">
        <v>376</v>
      </c>
      <c r="C24" s="6"/>
      <c r="D24" s="6"/>
      <c r="E24" s="167"/>
      <c r="F24" s="4"/>
      <c r="G24" s="4"/>
      <c r="H24" s="4"/>
      <c r="I24" s="99"/>
      <c r="Q24" s="1">
        <f t="shared" ref="Q24:Q27" si="2">IF(E24="",1,0)</f>
        <v>1</v>
      </c>
      <c r="R24" s="1" t="str">
        <f t="shared" ref="R24:R27" si="3">IF(E24="","["&amp;B24&amp;"]","")</f>
        <v>[Umsatz in CHF]</v>
      </c>
    </row>
    <row r="25" spans="1:22" ht="16.5" customHeight="1" thickBot="1" x14ac:dyDescent="0.35">
      <c r="A25" s="7"/>
      <c r="B25" s="6" t="str">
        <f>"Personalstellen in Vollzeitäquivalenten Ende "&amp;C3</f>
        <v>Personalstellen in Vollzeitäquivalenten Ende 2025</v>
      </c>
      <c r="C25" s="6"/>
      <c r="D25" s="6"/>
      <c r="E25" s="168"/>
      <c r="F25" s="4"/>
      <c r="G25" s="4"/>
      <c r="H25" s="4"/>
      <c r="I25" s="99"/>
      <c r="Q25" s="1">
        <f t="shared" si="2"/>
        <v>1</v>
      </c>
      <c r="R25" s="1" t="str">
        <f t="shared" si="3"/>
        <v>[Personalstellen in Vollzeitäquivalenten Ende 2025]</v>
      </c>
    </row>
    <row r="26" spans="1:22" ht="16.5" customHeight="1" thickBot="1" x14ac:dyDescent="0.35">
      <c r="A26" s="7"/>
      <c r="B26" s="6" t="str">
        <f>"Gesamter Personalaufwand im Kanton Zug "&amp;C3</f>
        <v>Gesamter Personalaufwand im Kanton Zug 2025</v>
      </c>
      <c r="C26" s="6"/>
      <c r="D26" s="6"/>
      <c r="E26" s="172"/>
      <c r="F26" s="4"/>
      <c r="G26" s="4"/>
      <c r="H26" s="4"/>
      <c r="I26" s="99"/>
      <c r="Q26" s="1">
        <f t="shared" ref="Q26" si="4">IF(E26="",1,0)</f>
        <v>1</v>
      </c>
      <c r="R26" s="1" t="str">
        <f t="shared" ref="R26" si="5">IF(E26="","["&amp;B26&amp;"]","")</f>
        <v>[Gesamter Personalaufwand im Kanton Zug 2025]</v>
      </c>
    </row>
    <row r="27" spans="1:22" ht="32.4" customHeight="1" thickBot="1" x14ac:dyDescent="0.35">
      <c r="A27" s="7"/>
      <c r="B27" s="164" t="s">
        <v>375</v>
      </c>
      <c r="C27" s="6"/>
      <c r="D27" s="6"/>
      <c r="E27" s="263"/>
      <c r="F27" s="245"/>
      <c r="G27" s="246"/>
      <c r="H27" s="4"/>
      <c r="I27" s="99"/>
      <c r="Q27" s="1">
        <f t="shared" si="2"/>
        <v>1</v>
      </c>
      <c r="R27" s="1" t="str">
        <f t="shared" si="3"/>
        <v>[Unternehmenszweck (kurz gefasst)]</v>
      </c>
    </row>
    <row r="28" spans="1:22" ht="16.5" customHeight="1" x14ac:dyDescent="0.3">
      <c r="A28" s="7"/>
      <c r="B28" s="6"/>
      <c r="C28" s="6"/>
      <c r="D28" s="6"/>
      <c r="E28" s="4"/>
      <c r="F28" s="6"/>
      <c r="G28" s="4"/>
      <c r="H28" s="4"/>
      <c r="I28" s="99"/>
    </row>
    <row r="29" spans="1:22" ht="16.5" customHeight="1" x14ac:dyDescent="0.3">
      <c r="A29" s="169" t="s">
        <v>372</v>
      </c>
      <c r="B29" s="170"/>
      <c r="C29" s="170"/>
      <c r="D29" s="170"/>
      <c r="E29" s="170"/>
      <c r="F29" s="170"/>
      <c r="G29" s="171" t="s">
        <v>373</v>
      </c>
      <c r="H29" s="170"/>
      <c r="I29" s="141" t="b">
        <v>0</v>
      </c>
      <c r="J29" s="141" t="b">
        <v>0</v>
      </c>
      <c r="K29" s="141">
        <f>I29+J29</f>
        <v>0</v>
      </c>
      <c r="Q29" s="1">
        <f>IF(K29=0,1,0)</f>
        <v>1</v>
      </c>
      <c r="R29" s="1" t="str">
        <f>IF(Q29=1,"[Kreuzen Sie an, wofür Sie ein Fördergesuch einreichen.]","")</f>
        <v>[Kreuzen Sie an, wofür Sie ein Fördergesuch einreichen.]</v>
      </c>
    </row>
    <row r="30" spans="1:22" ht="16.5" customHeight="1" x14ac:dyDescent="0.3">
      <c r="A30" s="100" t="str">
        <f>IF(AND(J29=TRUE,E26&lt;1500000),"Die Förderung der CO2-Reduktion erfolgt nur bei einem Personalaufwand von mindestens 1.5 Millionen Franken.","")</f>
        <v/>
      </c>
      <c r="B30" s="6"/>
      <c r="C30" s="6"/>
      <c r="D30" s="6"/>
      <c r="E30" s="6"/>
      <c r="F30" s="6"/>
      <c r="G30" s="6"/>
      <c r="H30" s="6"/>
    </row>
    <row r="31" spans="1:22" ht="16.5" customHeight="1" x14ac:dyDescent="0.3">
      <c r="V31" s="162">
        <v>21</v>
      </c>
    </row>
    <row r="32" spans="1:22" ht="16.5" customHeight="1" thickBot="1" x14ac:dyDescent="0.35">
      <c r="A32" s="20" t="s">
        <v>371</v>
      </c>
      <c r="B32" s="10"/>
      <c r="C32" s="10"/>
      <c r="D32" s="10"/>
      <c r="E32" s="10"/>
      <c r="F32" s="10"/>
      <c r="G32" s="10"/>
      <c r="H32" s="10"/>
      <c r="V32" s="162">
        <v>22</v>
      </c>
    </row>
    <row r="33" spans="1:22" ht="16.5" customHeight="1" thickBot="1" x14ac:dyDescent="0.35">
      <c r="A33" s="9"/>
      <c r="B33" s="10" t="s">
        <v>377</v>
      </c>
      <c r="C33" s="10"/>
      <c r="D33" s="10"/>
      <c r="E33" s="230"/>
      <c r="F33" s="231"/>
      <c r="G33" s="232"/>
      <c r="H33" s="10"/>
      <c r="I33" s="1" t="s">
        <v>26</v>
      </c>
      <c r="J33" s="1" t="s">
        <v>60</v>
      </c>
      <c r="Q33" s="1">
        <f>IF(AND(I29=TRUE,Datensatz!AB2=TRUE),IF(E33="",1,0),0)</f>
        <v>0</v>
      </c>
      <c r="R33" s="1" t="str">
        <f>IF(Q33=1,"["&amp;B33&amp;"]","")</f>
        <v/>
      </c>
      <c r="V33" s="162">
        <v>23</v>
      </c>
    </row>
    <row r="34" spans="1:22" ht="16.5" customHeight="1" x14ac:dyDescent="0.3">
      <c r="A34" s="9"/>
      <c r="B34" s="11"/>
      <c r="C34" s="11"/>
      <c r="D34" s="11"/>
      <c r="E34" s="150"/>
      <c r="F34" s="11"/>
      <c r="G34" s="11"/>
      <c r="H34" s="11"/>
      <c r="I34" s="2"/>
      <c r="J34" s="2"/>
      <c r="K34" s="2"/>
      <c r="L34" s="2"/>
      <c r="M34" s="2"/>
      <c r="V34" s="162">
        <v>26</v>
      </c>
    </row>
    <row r="35" spans="1:22" ht="16.5" customHeight="1" x14ac:dyDescent="0.3">
      <c r="A35" s="9" t="s">
        <v>419</v>
      </c>
      <c r="B35" s="10"/>
      <c r="C35" s="10"/>
      <c r="D35" s="10"/>
      <c r="E35" s="10"/>
      <c r="F35" s="10"/>
      <c r="G35" s="10"/>
      <c r="H35" s="10"/>
      <c r="J35" s="13"/>
      <c r="K35" s="3"/>
      <c r="L35" s="3"/>
      <c r="M35" s="3"/>
      <c r="V35" s="162">
        <v>27</v>
      </c>
    </row>
    <row r="36" spans="1:22" ht="16.5" customHeight="1" x14ac:dyDescent="0.3">
      <c r="A36" s="9"/>
      <c r="B36" s="12"/>
      <c r="C36" s="12"/>
      <c r="D36" s="12"/>
      <c r="E36" s="12"/>
      <c r="F36" s="12"/>
      <c r="G36" s="10"/>
      <c r="H36" s="10"/>
      <c r="I36" s="1" t="s">
        <v>68</v>
      </c>
      <c r="J36" s="1">
        <f>IF(Datensatz!Y2=TRUE,1,0)</f>
        <v>0</v>
      </c>
      <c r="K36" s="1">
        <f>IF(Datensatz!Z2=TRUE,2,0)</f>
        <v>0</v>
      </c>
      <c r="L36" s="1">
        <f>IF(Datensatz!AA2=TRUE,4,0)</f>
        <v>0</v>
      </c>
      <c r="M36" s="1">
        <f>IF(Datensatz!AB2=TRUE,8,0)</f>
        <v>0</v>
      </c>
      <c r="N36" s="1">
        <f>IF(Datensatz!AC2=TRUE,16,0)</f>
        <v>0</v>
      </c>
      <c r="O36" s="1">
        <f>SUM(J36:N36)</f>
        <v>0</v>
      </c>
      <c r="Q36" s="1">
        <f>IF(AND(O36=0,I29=TRUE),1,0)</f>
        <v>0</v>
      </c>
      <c r="R36" s="1" t="str">
        <f>IF(Q36=1,"Wenn aufwandseitige Förderung geltend gemacht wird, muss die Art der Forschung angegeben werden.","")</f>
        <v/>
      </c>
      <c r="V36" s="162">
        <v>28</v>
      </c>
    </row>
    <row r="37" spans="1:22" ht="16.5" customHeight="1" x14ac:dyDescent="0.3">
      <c r="A37" s="9"/>
      <c r="B37" s="12"/>
      <c r="C37" s="12"/>
      <c r="D37" s="12"/>
      <c r="E37" s="12"/>
      <c r="F37" s="12"/>
      <c r="G37" s="12"/>
      <c r="H37" s="12"/>
      <c r="I37" s="3"/>
      <c r="J37" s="69" t="s">
        <v>59</v>
      </c>
      <c r="K37" s="3"/>
      <c r="L37" s="3"/>
      <c r="M37" s="3"/>
      <c r="V37" s="162">
        <v>29</v>
      </c>
    </row>
    <row r="38" spans="1:22" ht="16.5" customHeight="1" thickBot="1" x14ac:dyDescent="0.35">
      <c r="A38" s="9"/>
      <c r="B38" s="110" t="s">
        <v>380</v>
      </c>
      <c r="C38" s="108"/>
      <c r="D38" s="108"/>
      <c r="E38" s="108"/>
      <c r="F38" s="108"/>
      <c r="G38" s="108"/>
      <c r="H38" s="10"/>
      <c r="J38" s="69"/>
      <c r="V38" s="162">
        <v>30</v>
      </c>
    </row>
    <row r="39" spans="1:22" ht="68.25" customHeight="1" thickBot="1" x14ac:dyDescent="0.35">
      <c r="A39" s="9"/>
      <c r="B39" s="244"/>
      <c r="C39" s="245"/>
      <c r="D39" s="245"/>
      <c r="E39" s="245"/>
      <c r="F39" s="245"/>
      <c r="G39" s="246"/>
      <c r="H39" s="10"/>
      <c r="I39" s="1" t="s">
        <v>26</v>
      </c>
      <c r="J39" s="69" t="s">
        <v>55</v>
      </c>
      <c r="Q39" s="1">
        <f>IF(AND(I29=TRUE,B39=""),1,0)</f>
        <v>0</v>
      </c>
      <c r="R39" s="1" t="str">
        <f>IF(Q39=0,"","[Beschreibung der innovativen Tätigkeit]")</f>
        <v/>
      </c>
      <c r="U39" s="146" t="s">
        <v>359</v>
      </c>
      <c r="V39" s="162">
        <v>32</v>
      </c>
    </row>
    <row r="40" spans="1:22" ht="16.5" customHeight="1" x14ac:dyDescent="0.3">
      <c r="A40" s="9"/>
      <c r="B40" s="108"/>
      <c r="C40" s="108"/>
      <c r="D40" s="108"/>
      <c r="E40" s="108"/>
      <c r="F40" s="108"/>
      <c r="G40" s="108"/>
      <c r="H40" s="10"/>
      <c r="J40" s="69" t="s">
        <v>56</v>
      </c>
      <c r="V40" s="162">
        <v>33</v>
      </c>
    </row>
    <row r="41" spans="1:22" ht="16.5" hidden="1" customHeight="1" x14ac:dyDescent="0.3">
      <c r="A41" s="9"/>
      <c r="B41" s="242" t="s">
        <v>25</v>
      </c>
      <c r="C41" s="242"/>
      <c r="D41" s="242"/>
      <c r="E41" s="242"/>
      <c r="F41" s="242"/>
      <c r="G41" s="242"/>
      <c r="H41" s="10"/>
      <c r="V41" s="162">
        <v>34</v>
      </c>
    </row>
    <row r="42" spans="1:22" ht="12" hidden="1" customHeight="1" thickBot="1" x14ac:dyDescent="0.35">
      <c r="A42" s="9"/>
      <c r="B42" s="242"/>
      <c r="C42" s="242"/>
      <c r="D42" s="242"/>
      <c r="E42" s="242"/>
      <c r="F42" s="242"/>
      <c r="G42" s="242"/>
      <c r="H42" s="10"/>
      <c r="V42" s="162">
        <v>35</v>
      </c>
    </row>
    <row r="43" spans="1:22" ht="16.5" hidden="1" customHeight="1" x14ac:dyDescent="0.3">
      <c r="A43" s="9"/>
      <c r="B43" s="37"/>
      <c r="C43" s="38"/>
      <c r="D43" s="38"/>
      <c r="E43" s="38"/>
      <c r="F43" s="38"/>
      <c r="G43" s="39"/>
      <c r="H43" s="10"/>
      <c r="J43" s="14"/>
      <c r="V43" s="162">
        <v>36</v>
      </c>
    </row>
    <row r="44" spans="1:22" ht="16.5" hidden="1" customHeight="1" thickBot="1" x14ac:dyDescent="0.35">
      <c r="A44" s="9"/>
      <c r="B44" s="40"/>
      <c r="C44" s="41"/>
      <c r="D44" s="41"/>
      <c r="E44" s="41"/>
      <c r="F44" s="41"/>
      <c r="G44" s="42"/>
      <c r="H44" s="10"/>
      <c r="J44" s="14"/>
      <c r="V44" s="162">
        <v>37</v>
      </c>
    </row>
    <row r="45" spans="1:22" ht="16.5" hidden="1" customHeight="1" x14ac:dyDescent="0.3">
      <c r="A45" s="9"/>
      <c r="B45" s="9"/>
      <c r="C45" s="10"/>
      <c r="D45" s="10"/>
      <c r="E45" s="10"/>
      <c r="F45" s="10"/>
      <c r="G45" s="10"/>
      <c r="H45" s="10"/>
      <c r="V45" s="162">
        <v>38</v>
      </c>
    </row>
    <row r="46" spans="1:22" ht="16.5" customHeight="1" x14ac:dyDescent="0.3">
      <c r="A46" s="9"/>
      <c r="B46" s="10" t="s">
        <v>381</v>
      </c>
      <c r="C46" s="10"/>
      <c r="D46" s="10"/>
      <c r="E46" s="10"/>
      <c r="F46" s="10"/>
      <c r="G46" s="10"/>
      <c r="H46" s="10"/>
      <c r="V46" s="162">
        <v>39</v>
      </c>
    </row>
    <row r="47" spans="1:22" ht="16.5" customHeight="1" x14ac:dyDescent="0.3">
      <c r="A47" s="9"/>
      <c r="B47" s="10"/>
      <c r="C47" s="10"/>
      <c r="D47" s="9"/>
      <c r="E47" s="10"/>
      <c r="F47" s="10"/>
      <c r="G47" s="10"/>
      <c r="H47" s="10"/>
      <c r="I47" s="1" t="s">
        <v>57</v>
      </c>
      <c r="Q47" s="1">
        <f>IF(AND(I29=TRUE,(COUNTIF(Prüfer!B51:B55,"j")+COUNTIF(Prüfer!D51:D55,"j")=0)),1,0)</f>
        <v>0</v>
      </c>
      <c r="R47" s="1" t="str">
        <f>IF(Q47=0,"","[Stufe des Innovationsprozesses]")</f>
        <v/>
      </c>
      <c r="V47" s="162">
        <v>40</v>
      </c>
    </row>
    <row r="48" spans="1:22" ht="16.5" customHeight="1" x14ac:dyDescent="0.3">
      <c r="A48" s="9"/>
      <c r="B48" s="10"/>
      <c r="C48" s="10"/>
      <c r="D48" s="9"/>
      <c r="E48" s="10"/>
      <c r="F48" s="10"/>
      <c r="G48" s="10"/>
      <c r="H48" s="10"/>
      <c r="J48" s="85" t="s">
        <v>58</v>
      </c>
      <c r="V48" s="162">
        <v>41</v>
      </c>
    </row>
    <row r="49" spans="1:22" ht="16.5" customHeight="1" x14ac:dyDescent="0.3">
      <c r="A49" s="9"/>
      <c r="B49" s="10"/>
      <c r="C49" s="10"/>
      <c r="D49" s="9"/>
      <c r="E49" s="10"/>
      <c r="F49" s="10"/>
      <c r="G49" s="10"/>
      <c r="H49" s="10"/>
      <c r="J49" s="69" t="s">
        <v>59</v>
      </c>
      <c r="V49" s="162">
        <v>42</v>
      </c>
    </row>
    <row r="50" spans="1:22" ht="16.5" customHeight="1" x14ac:dyDescent="0.3">
      <c r="A50" s="9"/>
      <c r="B50" s="10"/>
      <c r="C50" s="10"/>
      <c r="D50" s="9"/>
      <c r="E50" s="10"/>
      <c r="F50" s="10"/>
      <c r="G50" s="10"/>
      <c r="H50" s="10"/>
      <c r="V50" s="162">
        <v>43</v>
      </c>
    </row>
    <row r="51" spans="1:22" ht="16.5" customHeight="1" x14ac:dyDescent="0.3">
      <c r="A51" s="9"/>
      <c r="B51" s="10"/>
      <c r="C51" s="10"/>
      <c r="D51" s="9"/>
      <c r="E51" s="10"/>
      <c r="F51" s="10"/>
      <c r="G51" s="10"/>
      <c r="H51" s="10"/>
      <c r="V51" s="162">
        <v>44</v>
      </c>
    </row>
    <row r="52" spans="1:22" ht="16.5" customHeight="1" x14ac:dyDescent="0.3">
      <c r="A52" s="9"/>
      <c r="B52" s="9"/>
      <c r="C52" s="9"/>
      <c r="D52" s="10"/>
      <c r="E52" s="10"/>
      <c r="F52" s="10"/>
      <c r="G52" s="10"/>
      <c r="H52" s="10"/>
      <c r="V52" s="162">
        <v>45</v>
      </c>
    </row>
    <row r="53" spans="1:22" ht="28.5" hidden="1" customHeight="1" thickBot="1" x14ac:dyDescent="0.35">
      <c r="A53" s="9"/>
      <c r="B53" s="242" t="s">
        <v>7</v>
      </c>
      <c r="C53" s="242"/>
      <c r="D53" s="242"/>
      <c r="E53" s="242"/>
      <c r="F53" s="242"/>
      <c r="G53" s="242"/>
      <c r="H53" s="10"/>
      <c r="V53" s="162">
        <v>46</v>
      </c>
    </row>
    <row r="54" spans="1:22" ht="32.25" hidden="1" customHeight="1" thickBot="1" x14ac:dyDescent="0.35">
      <c r="A54" s="9"/>
      <c r="B54" s="44"/>
      <c r="C54" s="43"/>
      <c r="D54" s="45"/>
      <c r="E54" s="45"/>
      <c r="F54" s="45"/>
      <c r="G54" s="46"/>
      <c r="H54" s="10"/>
      <c r="I54" s="16"/>
      <c r="J54" s="17"/>
      <c r="V54" s="162">
        <v>47</v>
      </c>
    </row>
    <row r="55" spans="1:22" ht="16.5" hidden="1" customHeight="1" x14ac:dyDescent="0.3">
      <c r="A55" s="9"/>
      <c r="B55" s="15"/>
      <c r="C55" s="15"/>
      <c r="D55" s="10"/>
      <c r="E55" s="10"/>
      <c r="F55" s="10"/>
      <c r="G55" s="10"/>
      <c r="H55" s="10"/>
      <c r="J55" s="14"/>
      <c r="V55" s="162">
        <v>48</v>
      </c>
    </row>
    <row r="56" spans="1:22" ht="68.25" hidden="1" customHeight="1" thickBot="1" x14ac:dyDescent="0.35">
      <c r="A56" s="9"/>
      <c r="B56" s="242" t="s">
        <v>8</v>
      </c>
      <c r="C56" s="242"/>
      <c r="D56" s="242"/>
      <c r="E56" s="242"/>
      <c r="F56" s="242"/>
      <c r="G56" s="242"/>
      <c r="H56" s="10"/>
      <c r="V56" s="162">
        <v>49</v>
      </c>
    </row>
    <row r="57" spans="1:22" ht="32.25" hidden="1" customHeight="1" thickBot="1" x14ac:dyDescent="0.35">
      <c r="A57" s="9"/>
      <c r="B57" s="44"/>
      <c r="C57" s="43"/>
      <c r="D57" s="45"/>
      <c r="E57" s="45"/>
      <c r="F57" s="45"/>
      <c r="G57" s="46"/>
      <c r="H57" s="10"/>
      <c r="I57" s="16"/>
      <c r="J57" s="17"/>
      <c r="V57" s="162">
        <v>50</v>
      </c>
    </row>
    <row r="58" spans="1:22" ht="16.5" hidden="1" customHeight="1" x14ac:dyDescent="0.3">
      <c r="A58" s="9"/>
      <c r="B58" s="15"/>
      <c r="C58" s="15"/>
      <c r="D58" s="10"/>
      <c r="E58" s="10"/>
      <c r="F58" s="10"/>
      <c r="G58" s="10"/>
      <c r="H58" s="10"/>
      <c r="J58" s="14"/>
      <c r="V58" s="162">
        <v>51</v>
      </c>
    </row>
    <row r="59" spans="1:22" ht="32.25" hidden="1" customHeight="1" thickBot="1" x14ac:dyDescent="0.35">
      <c r="A59" s="9"/>
      <c r="B59" s="242" t="s">
        <v>9</v>
      </c>
      <c r="C59" s="242"/>
      <c r="D59" s="242"/>
      <c r="E59" s="242"/>
      <c r="F59" s="242"/>
      <c r="G59" s="242"/>
      <c r="H59" s="10"/>
      <c r="V59" s="162">
        <v>55</v>
      </c>
    </row>
    <row r="60" spans="1:22" ht="32.25" hidden="1" customHeight="1" thickBot="1" x14ac:dyDescent="0.35">
      <c r="A60" s="9"/>
      <c r="B60" s="44"/>
      <c r="C60" s="43"/>
      <c r="D60" s="45"/>
      <c r="E60" s="45"/>
      <c r="F60" s="45"/>
      <c r="G60" s="46"/>
      <c r="H60" s="10"/>
      <c r="I60" s="16"/>
      <c r="J60" s="17"/>
      <c r="V60" s="162">
        <v>56</v>
      </c>
    </row>
    <row r="61" spans="1:22" ht="16.5" hidden="1" customHeight="1" x14ac:dyDescent="0.3">
      <c r="A61" s="9"/>
      <c r="B61" s="15"/>
      <c r="C61" s="15"/>
      <c r="D61" s="10"/>
      <c r="E61" s="10"/>
      <c r="F61" s="10"/>
      <c r="G61" s="10"/>
      <c r="H61" s="10"/>
      <c r="V61" s="162">
        <v>57</v>
      </c>
    </row>
    <row r="62" spans="1:22" ht="41.25" hidden="1" customHeight="1" thickBot="1" x14ac:dyDescent="0.35">
      <c r="A62" s="9"/>
      <c r="B62" s="242" t="s">
        <v>10</v>
      </c>
      <c r="C62" s="242"/>
      <c r="D62" s="242"/>
      <c r="E62" s="242"/>
      <c r="F62" s="242"/>
      <c r="G62" s="242"/>
      <c r="H62" s="10"/>
      <c r="V62" s="162">
        <v>58</v>
      </c>
    </row>
    <row r="63" spans="1:22" ht="32.25" hidden="1" customHeight="1" thickBot="1" x14ac:dyDescent="0.35">
      <c r="A63" s="9"/>
      <c r="B63" s="44"/>
      <c r="C63" s="43"/>
      <c r="D63" s="45"/>
      <c r="E63" s="45"/>
      <c r="F63" s="45"/>
      <c r="G63" s="46"/>
      <c r="H63" s="10"/>
      <c r="I63" s="16"/>
      <c r="J63" s="17"/>
      <c r="V63" s="162">
        <v>59</v>
      </c>
    </row>
    <row r="64" spans="1:22" ht="16.5" hidden="1" customHeight="1" x14ac:dyDescent="0.3">
      <c r="A64" s="9"/>
      <c r="B64" s="15"/>
      <c r="C64" s="15"/>
      <c r="D64" s="10"/>
      <c r="E64" s="10"/>
      <c r="F64" s="10"/>
      <c r="G64" s="10"/>
      <c r="H64" s="10"/>
      <c r="V64" s="162">
        <v>60</v>
      </c>
    </row>
    <row r="65" spans="1:22" ht="16.5" hidden="1" customHeight="1" thickBot="1" x14ac:dyDescent="0.35">
      <c r="A65" s="9"/>
      <c r="B65" s="15" t="s">
        <v>11</v>
      </c>
      <c r="C65" s="15"/>
      <c r="D65" s="10"/>
      <c r="E65" s="10"/>
      <c r="F65" s="10"/>
      <c r="G65" s="10"/>
      <c r="H65" s="10"/>
      <c r="V65" s="162">
        <v>61</v>
      </c>
    </row>
    <row r="66" spans="1:22" ht="32.25" hidden="1" customHeight="1" thickBot="1" x14ac:dyDescent="0.35">
      <c r="A66" s="9"/>
      <c r="B66" s="44"/>
      <c r="C66" s="43"/>
      <c r="D66" s="45"/>
      <c r="E66" s="45"/>
      <c r="F66" s="45"/>
      <c r="G66" s="46"/>
      <c r="H66" s="10"/>
      <c r="I66" s="16"/>
      <c r="J66" s="17"/>
      <c r="V66" s="162">
        <v>62</v>
      </c>
    </row>
    <row r="67" spans="1:22" ht="16.5" hidden="1" customHeight="1" x14ac:dyDescent="0.3">
      <c r="A67" s="9"/>
      <c r="B67" s="15"/>
      <c r="C67" s="15"/>
      <c r="D67" s="10"/>
      <c r="E67" s="10"/>
      <c r="F67" s="10"/>
      <c r="G67" s="10"/>
      <c r="H67" s="10"/>
      <c r="V67" s="162">
        <v>63</v>
      </c>
    </row>
    <row r="68" spans="1:22" ht="16.5" hidden="1" customHeight="1" thickBot="1" x14ac:dyDescent="0.35">
      <c r="A68" s="9"/>
      <c r="B68" s="15" t="s">
        <v>14</v>
      </c>
      <c r="C68" s="15"/>
      <c r="D68" s="10"/>
      <c r="E68" s="10"/>
      <c r="F68" s="10"/>
      <c r="G68" s="10"/>
      <c r="H68" s="10"/>
      <c r="V68" s="162">
        <v>64</v>
      </c>
    </row>
    <row r="69" spans="1:22" ht="32.25" hidden="1" customHeight="1" thickBot="1" x14ac:dyDescent="0.35">
      <c r="A69" s="9"/>
      <c r="B69" s="44"/>
      <c r="C69" s="43"/>
      <c r="D69" s="45"/>
      <c r="E69" s="45"/>
      <c r="F69" s="45"/>
      <c r="G69" s="46"/>
      <c r="H69" s="10"/>
      <c r="I69" s="16"/>
      <c r="J69" s="17"/>
      <c r="V69" s="162">
        <v>65</v>
      </c>
    </row>
    <row r="70" spans="1:22" ht="16.5" hidden="1" customHeight="1" x14ac:dyDescent="0.3">
      <c r="A70" s="9"/>
      <c r="B70" s="15"/>
      <c r="C70" s="15"/>
      <c r="D70" s="10"/>
      <c r="E70" s="10"/>
      <c r="F70" s="10"/>
      <c r="G70" s="10"/>
      <c r="H70" s="10"/>
      <c r="V70" s="162">
        <v>66</v>
      </c>
    </row>
    <row r="71" spans="1:22" ht="41.25" hidden="1" customHeight="1" thickBot="1" x14ac:dyDescent="0.35">
      <c r="A71" s="9"/>
      <c r="B71" s="242" t="s">
        <v>12</v>
      </c>
      <c r="C71" s="242"/>
      <c r="D71" s="242"/>
      <c r="E71" s="242"/>
      <c r="F71" s="242"/>
      <c r="G71" s="242"/>
      <c r="H71" s="10"/>
      <c r="V71" s="162">
        <v>67</v>
      </c>
    </row>
    <row r="72" spans="1:22" ht="32.25" hidden="1" customHeight="1" thickBot="1" x14ac:dyDescent="0.35">
      <c r="A72" s="9"/>
      <c r="B72" s="44"/>
      <c r="C72" s="43"/>
      <c r="D72" s="45"/>
      <c r="E72" s="45"/>
      <c r="F72" s="45"/>
      <c r="G72" s="46"/>
      <c r="H72" s="10"/>
      <c r="I72" s="16"/>
      <c r="J72" s="17"/>
      <c r="V72" s="162">
        <v>68</v>
      </c>
    </row>
    <row r="73" spans="1:22" ht="16.5" hidden="1" customHeight="1" x14ac:dyDescent="0.3">
      <c r="A73" s="9"/>
      <c r="B73" s="15"/>
      <c r="C73" s="15"/>
      <c r="D73" s="10"/>
      <c r="E73" s="10"/>
      <c r="F73" s="10"/>
      <c r="G73" s="10"/>
      <c r="H73" s="10"/>
      <c r="V73" s="162">
        <v>69</v>
      </c>
    </row>
    <row r="74" spans="1:22" ht="44.1" customHeight="1" thickBot="1" x14ac:dyDescent="0.35">
      <c r="A74" s="9"/>
      <c r="B74" s="242" t="s">
        <v>364</v>
      </c>
      <c r="C74" s="242"/>
      <c r="D74" s="242"/>
      <c r="E74" s="242"/>
      <c r="F74" s="242"/>
      <c r="G74" s="242"/>
      <c r="H74" s="10"/>
      <c r="V74" s="162">
        <v>70</v>
      </c>
    </row>
    <row r="75" spans="1:22" ht="68.25" customHeight="1" thickBot="1" x14ac:dyDescent="0.35">
      <c r="A75" s="9"/>
      <c r="B75" s="244"/>
      <c r="C75" s="245"/>
      <c r="D75" s="245"/>
      <c r="E75" s="245"/>
      <c r="F75" s="245"/>
      <c r="G75" s="246"/>
      <c r="H75" s="10"/>
      <c r="I75" s="16" t="s">
        <v>26</v>
      </c>
      <c r="J75" s="69" t="s">
        <v>55</v>
      </c>
      <c r="N75" s="1">
        <f>LEN(B75)</f>
        <v>0</v>
      </c>
      <c r="Q75" s="1">
        <f>IF(AND(I29=TRUE,B75=""),1,0)</f>
        <v>0</v>
      </c>
      <c r="R75" s="1" t="str">
        <f>IF(Q75=0,"","[System zur Arbeitszeiterfassung]")</f>
        <v/>
      </c>
      <c r="U75" s="146" t="s">
        <v>359</v>
      </c>
      <c r="V75" s="162">
        <v>71</v>
      </c>
    </row>
    <row r="76" spans="1:22" ht="16.5" customHeight="1" x14ac:dyDescent="0.3">
      <c r="A76" s="9"/>
      <c r="B76" s="15"/>
      <c r="C76" s="15"/>
      <c r="D76" s="10"/>
      <c r="E76" s="10"/>
      <c r="F76" s="10"/>
      <c r="G76" s="10"/>
      <c r="H76" s="10"/>
      <c r="J76" s="69" t="s">
        <v>56</v>
      </c>
      <c r="V76" s="162">
        <v>72</v>
      </c>
    </row>
    <row r="77" spans="1:22" ht="111.6" customHeight="1" thickBot="1" x14ac:dyDescent="0.35">
      <c r="A77" s="9"/>
      <c r="B77" s="242" t="s">
        <v>435</v>
      </c>
      <c r="C77" s="242"/>
      <c r="D77" s="242"/>
      <c r="E77" s="242"/>
      <c r="F77" s="242"/>
      <c r="G77" s="242"/>
      <c r="H77" s="10"/>
      <c r="N77" s="16"/>
      <c r="O77" s="83" t="s">
        <v>405</v>
      </c>
      <c r="P77" s="83"/>
      <c r="V77" s="162">
        <v>73</v>
      </c>
    </row>
    <row r="78" spans="1:22" ht="68.25" customHeight="1" thickBot="1" x14ac:dyDescent="0.35">
      <c r="A78" s="9"/>
      <c r="B78" s="244"/>
      <c r="C78" s="245"/>
      <c r="D78" s="245"/>
      <c r="E78" s="245"/>
      <c r="F78" s="245"/>
      <c r="G78" s="246"/>
      <c r="H78" s="10"/>
      <c r="I78" s="16" t="s">
        <v>26</v>
      </c>
      <c r="J78" s="69" t="s">
        <v>55</v>
      </c>
      <c r="Q78" s="1">
        <f>IF(AND(I29=TRUE,B78=""),1,0)</f>
        <v>0</v>
      </c>
      <c r="R78" s="1" t="str">
        <f>IF(Q78=0,"","[Aufteilungsgrundlage]")</f>
        <v/>
      </c>
      <c r="U78" s="146" t="s">
        <v>359</v>
      </c>
      <c r="V78" s="162">
        <v>74</v>
      </c>
    </row>
    <row r="79" spans="1:22" ht="16.5" customHeight="1" x14ac:dyDescent="0.3">
      <c r="A79" s="9"/>
      <c r="B79" s="15"/>
      <c r="C79" s="15"/>
      <c r="D79" s="10"/>
      <c r="E79" s="10"/>
      <c r="F79" s="10"/>
      <c r="G79" s="10"/>
      <c r="H79" s="10"/>
      <c r="J79" s="69" t="s">
        <v>56</v>
      </c>
      <c r="V79" s="162">
        <v>75</v>
      </c>
    </row>
    <row r="80" spans="1:22" ht="27.9" customHeight="1" thickBot="1" x14ac:dyDescent="0.35">
      <c r="A80" s="9"/>
      <c r="B80" s="242" t="s">
        <v>69</v>
      </c>
      <c r="C80" s="242"/>
      <c r="D80" s="242"/>
      <c r="E80" s="242"/>
      <c r="F80" s="242"/>
      <c r="G80" s="242"/>
      <c r="H80" s="10"/>
      <c r="I80" s="1" t="s">
        <v>71</v>
      </c>
      <c r="J80" s="243" t="s">
        <v>70</v>
      </c>
      <c r="K80" s="243"/>
      <c r="V80" s="162">
        <v>76</v>
      </c>
    </row>
    <row r="81" spans="1:22" ht="16.5" customHeight="1" thickBot="1" x14ac:dyDescent="0.35">
      <c r="A81" s="9"/>
      <c r="B81" s="172"/>
      <c r="C81" s="10" t="s">
        <v>437</v>
      </c>
      <c r="D81" s="247" t="s">
        <v>436</v>
      </c>
      <c r="E81" s="247"/>
      <c r="F81" s="10"/>
      <c r="G81" s="10"/>
      <c r="H81" s="10"/>
      <c r="I81" s="1" t="s">
        <v>36</v>
      </c>
      <c r="J81" s="243"/>
      <c r="K81" s="243"/>
      <c r="Q81" s="1">
        <f>IF(AND(I29=TRUE,B81=""),1,0)</f>
        <v>0</v>
      </c>
      <c r="R81" s="1" t="str">
        <f>IF(Q81=1,"[Förderungsfähiger Personalaufwand]","")</f>
        <v/>
      </c>
      <c r="U81" s="18" t="s">
        <v>358</v>
      </c>
      <c r="V81" s="162">
        <v>77</v>
      </c>
    </row>
    <row r="82" spans="1:22" ht="16.5" customHeight="1" x14ac:dyDescent="0.3">
      <c r="A82" s="9"/>
      <c r="B82" s="15"/>
      <c r="C82" s="15"/>
      <c r="D82" s="10"/>
      <c r="E82" s="10"/>
      <c r="F82" s="10"/>
      <c r="G82" s="10"/>
      <c r="H82" s="10"/>
      <c r="V82" s="162">
        <v>78</v>
      </c>
    </row>
    <row r="83" spans="1:22" ht="16.5" customHeight="1" thickBot="1" x14ac:dyDescent="0.35">
      <c r="A83" s="9"/>
      <c r="B83" s="15" t="s">
        <v>420</v>
      </c>
      <c r="C83" s="15"/>
      <c r="D83" s="10"/>
      <c r="E83" s="10"/>
      <c r="F83" s="10"/>
      <c r="G83" s="10"/>
      <c r="H83" s="10"/>
    </row>
    <row r="84" spans="1:22" ht="16.5" customHeight="1" thickBot="1" x14ac:dyDescent="0.35">
      <c r="A84" s="9"/>
      <c r="B84" s="165" t="s">
        <v>438</v>
      </c>
      <c r="C84" s="15"/>
      <c r="D84" s="10"/>
      <c r="E84" s="172"/>
      <c r="F84" s="10"/>
      <c r="G84" s="10" t="s">
        <v>384</v>
      </c>
      <c r="H84" s="10"/>
      <c r="Q84" s="1">
        <f>IF(AND(Datensatz!AC2=TRUE,I29=TRUE),IF(AND(N36=16,E84=""),1,0),0)</f>
        <v>0</v>
      </c>
      <c r="R84" s="1" t="str">
        <f>IF(Q84=1,"[Sachaufwand in der Schweiz]","")</f>
        <v/>
      </c>
    </row>
    <row r="85" spans="1:22" ht="16.5" customHeight="1" thickBot="1" x14ac:dyDescent="0.35">
      <c r="A85" s="9"/>
      <c r="B85" s="165" t="s">
        <v>386</v>
      </c>
      <c r="C85" s="15"/>
      <c r="D85" s="10"/>
      <c r="E85" s="172"/>
      <c r="F85" s="10"/>
      <c r="G85" s="10" t="s">
        <v>384</v>
      </c>
      <c r="H85" s="10"/>
      <c r="Q85" s="1">
        <f>IF(AND(Datensatz!AC2=TRUE,I29=TRUE),IF(AND(N36=16,E85=""),1,0),0)</f>
        <v>0</v>
      </c>
      <c r="R85" s="1" t="str">
        <f>IF(Q85=1,"[Aufwand durch beauftragte Dritte in der Schweiz]","")</f>
        <v/>
      </c>
    </row>
    <row r="86" spans="1:22" ht="16.5" customHeight="1" x14ac:dyDescent="0.3">
      <c r="A86" s="9"/>
      <c r="B86" s="15"/>
      <c r="C86" s="15"/>
      <c r="D86" s="10"/>
      <c r="E86" s="10"/>
      <c r="F86" s="10"/>
      <c r="G86" s="10"/>
      <c r="H86" s="10"/>
      <c r="Q86" s="1">
        <f>IF(AND(B81+E84+E85&gt;0,Datensatz!V2=FALSE),1,0)</f>
        <v>0</v>
      </c>
      <c r="R86" s="1" t="str">
        <f>IF(Q86=1,"[In Zeile 29 Aufwandseitige Innovationsförderung ankreuzen]","")</f>
        <v/>
      </c>
    </row>
    <row r="87" spans="1:22" ht="16.5" customHeight="1" x14ac:dyDescent="0.3">
      <c r="V87" s="162">
        <v>79</v>
      </c>
    </row>
    <row r="88" spans="1:22" ht="16.5" customHeight="1" x14ac:dyDescent="0.3">
      <c r="A88" s="66" t="s">
        <v>155</v>
      </c>
      <c r="B88" s="22"/>
      <c r="C88" s="22"/>
      <c r="D88" s="22"/>
      <c r="E88" s="22"/>
      <c r="F88" s="22"/>
      <c r="G88" s="22"/>
      <c r="H88" s="22"/>
      <c r="I88" s="1" t="s">
        <v>156</v>
      </c>
      <c r="J88" s="67" t="s">
        <v>157</v>
      </c>
      <c r="K88" s="1" t="s">
        <v>158</v>
      </c>
      <c r="L88" s="47" t="s">
        <v>159</v>
      </c>
      <c r="M88" s="1" t="s">
        <v>160</v>
      </c>
      <c r="V88" s="162">
        <v>80</v>
      </c>
    </row>
    <row r="89" spans="1:22" ht="13.8" x14ac:dyDescent="0.3">
      <c r="A89" s="21"/>
      <c r="B89" s="256"/>
      <c r="C89" s="256"/>
      <c r="D89" s="256"/>
      <c r="E89" s="256"/>
      <c r="F89" s="256"/>
      <c r="G89" s="256"/>
      <c r="H89" s="22"/>
      <c r="I89" s="1" t="s">
        <v>67</v>
      </c>
      <c r="V89" s="162">
        <v>81</v>
      </c>
    </row>
    <row r="90" spans="1:22" ht="14.4" thickBot="1" x14ac:dyDescent="0.35">
      <c r="A90" s="21" t="s">
        <v>161</v>
      </c>
      <c r="B90" s="21"/>
      <c r="C90" s="22"/>
      <c r="D90" s="22"/>
      <c r="E90" s="22"/>
      <c r="F90" s="22"/>
      <c r="G90" s="22"/>
      <c r="H90" s="22"/>
      <c r="J90" s="67"/>
      <c r="V90" s="162">
        <v>82</v>
      </c>
    </row>
    <row r="91" spans="1:22" ht="16.5" customHeight="1" thickBot="1" x14ac:dyDescent="0.35">
      <c r="A91" s="21"/>
      <c r="B91" s="22" t="s">
        <v>315</v>
      </c>
      <c r="C91" s="22"/>
      <c r="D91" s="22"/>
      <c r="E91" s="182"/>
      <c r="F91" s="22"/>
      <c r="G91" s="264" t="s">
        <v>387</v>
      </c>
      <c r="H91" s="264"/>
      <c r="I91" s="69"/>
      <c r="J91" s="183">
        <v>1</v>
      </c>
      <c r="K91" s="69" t="s">
        <v>163</v>
      </c>
      <c r="L91" s="47" t="s">
        <v>164</v>
      </c>
      <c r="M91" s="1" t="s">
        <v>165</v>
      </c>
      <c r="Q91" s="1">
        <f>IF(AND(J29=TRUE,J91=1),1,0)</f>
        <v>0</v>
      </c>
      <c r="R91" s="1" t="str">
        <f>IF(J91=1,"["&amp;B91&amp;"]","")</f>
        <v>[Branchen-Cluster]</v>
      </c>
      <c r="V91" s="162">
        <v>83</v>
      </c>
    </row>
    <row r="92" spans="1:22" ht="16.5" customHeight="1" x14ac:dyDescent="0.3">
      <c r="A92" s="21"/>
      <c r="B92" s="76" t="s">
        <v>434</v>
      </c>
      <c r="C92" s="22"/>
      <c r="D92" s="22"/>
      <c r="E92" s="22"/>
      <c r="F92" s="22"/>
      <c r="G92" s="22"/>
      <c r="H92" s="22"/>
      <c r="I92" s="69"/>
      <c r="J92" s="68"/>
      <c r="K92" s="70"/>
      <c r="L92" s="47"/>
      <c r="V92" s="162">
        <v>84</v>
      </c>
    </row>
    <row r="93" spans="1:22" ht="16.5" customHeight="1" x14ac:dyDescent="0.3">
      <c r="A93" s="21"/>
      <c r="B93" s="22"/>
      <c r="C93" s="22"/>
      <c r="D93" s="22"/>
      <c r="E93" s="22"/>
      <c r="F93" s="22"/>
      <c r="G93" s="22"/>
      <c r="H93" s="22"/>
      <c r="I93" s="69"/>
      <c r="J93" s="68"/>
      <c r="K93" s="70"/>
      <c r="L93" s="47"/>
    </row>
    <row r="94" spans="1:22" ht="16.5" customHeight="1" thickBot="1" x14ac:dyDescent="0.35">
      <c r="A94" s="21"/>
      <c r="B94" s="22" t="s">
        <v>166</v>
      </c>
      <c r="C94" s="22"/>
      <c r="D94" s="22"/>
      <c r="E94" s="22"/>
      <c r="F94" s="22"/>
      <c r="G94" s="22"/>
      <c r="H94" s="22"/>
      <c r="J94" s="67"/>
      <c r="V94" s="162">
        <v>85</v>
      </c>
    </row>
    <row r="95" spans="1:22" ht="204" customHeight="1" thickBot="1" x14ac:dyDescent="0.35">
      <c r="A95" s="21"/>
      <c r="B95" s="249"/>
      <c r="C95" s="250"/>
      <c r="D95" s="250"/>
      <c r="E95" s="250"/>
      <c r="F95" s="250"/>
      <c r="G95" s="251"/>
      <c r="H95" s="22"/>
      <c r="I95" s="1" t="s">
        <v>167</v>
      </c>
      <c r="J95" s="67"/>
      <c r="K95" s="1" t="s">
        <v>168</v>
      </c>
      <c r="L95" s="47" t="s">
        <v>164</v>
      </c>
      <c r="M95" s="1" t="s">
        <v>169</v>
      </c>
      <c r="N95" s="1">
        <f>LEN(B95)</f>
        <v>0</v>
      </c>
      <c r="O95" s="114">
        <f>B95</f>
        <v>0</v>
      </c>
      <c r="P95" s="114"/>
      <c r="Q95" s="1">
        <f>IF(AND(J29=TRUE,B95=""),1,0)</f>
        <v>0</v>
      </c>
      <c r="R95" s="1" t="str">
        <f>IF(Q95=1,"["&amp;B94&amp;"]","")</f>
        <v/>
      </c>
      <c r="U95" s="146" t="s">
        <v>359</v>
      </c>
      <c r="V95" s="162">
        <v>86</v>
      </c>
    </row>
    <row r="96" spans="1:22" ht="16.5" customHeight="1" x14ac:dyDescent="0.3">
      <c r="A96" s="21"/>
      <c r="B96" s="22"/>
      <c r="C96" s="22"/>
      <c r="D96" s="22"/>
      <c r="E96" s="22"/>
      <c r="F96" s="22"/>
      <c r="G96" s="22"/>
      <c r="H96" s="22"/>
      <c r="I96" s="14"/>
      <c r="J96" s="71"/>
      <c r="V96" s="162">
        <v>87</v>
      </c>
    </row>
    <row r="97" spans="1:22" ht="16.5" customHeight="1" thickBot="1" x14ac:dyDescent="0.35">
      <c r="A97" s="21"/>
      <c r="B97" s="22" t="s">
        <v>388</v>
      </c>
      <c r="C97" s="22"/>
      <c r="D97" s="22"/>
      <c r="E97" s="22"/>
      <c r="F97" s="22"/>
      <c r="G97" s="22"/>
      <c r="H97" s="22"/>
      <c r="J97" s="67"/>
      <c r="V97" s="162">
        <v>88</v>
      </c>
    </row>
    <row r="98" spans="1:22" ht="204" customHeight="1" thickBot="1" x14ac:dyDescent="0.35">
      <c r="A98" s="21"/>
      <c r="B98" s="252"/>
      <c r="C98" s="253"/>
      <c r="D98" s="253"/>
      <c r="E98" s="253"/>
      <c r="F98" s="253"/>
      <c r="G98" s="254"/>
      <c r="H98" s="22"/>
      <c r="I98" s="1" t="s">
        <v>167</v>
      </c>
      <c r="J98" s="67"/>
      <c r="K98" s="1" t="s">
        <v>168</v>
      </c>
      <c r="L98" s="47" t="s">
        <v>164</v>
      </c>
      <c r="M98" s="1" t="s">
        <v>169</v>
      </c>
      <c r="Q98" s="1">
        <f>IF(AND(J29=TRUE,B98=""),1,0)</f>
        <v>0</v>
      </c>
      <c r="R98" s="1" t="str">
        <f>IF(Q98=1,"["&amp;B97&amp;"]","")</f>
        <v/>
      </c>
      <c r="U98" s="146" t="s">
        <v>359</v>
      </c>
      <c r="V98" s="162">
        <v>89</v>
      </c>
    </row>
    <row r="99" spans="1:22" ht="16.5" customHeight="1" x14ac:dyDescent="0.3">
      <c r="A99" s="21"/>
      <c r="B99" s="22"/>
      <c r="C99" s="22"/>
      <c r="D99" s="22"/>
      <c r="E99" s="22"/>
      <c r="F99" s="22"/>
      <c r="G99" s="22"/>
      <c r="H99" s="22"/>
      <c r="I99" s="14"/>
      <c r="J99" s="71"/>
      <c r="V99" s="162">
        <v>90</v>
      </c>
    </row>
    <row r="100" spans="1:22" ht="16.5" customHeight="1" thickBot="1" x14ac:dyDescent="0.35">
      <c r="A100" s="21" t="s">
        <v>171</v>
      </c>
      <c r="B100" s="21"/>
      <c r="C100" s="22"/>
      <c r="D100" s="22"/>
      <c r="E100" s="22"/>
      <c r="F100" s="22"/>
      <c r="G100" s="22"/>
      <c r="H100" s="22"/>
      <c r="J100" s="67"/>
      <c r="V100" s="162">
        <v>91</v>
      </c>
    </row>
    <row r="101" spans="1:22" ht="16.5" customHeight="1" thickBot="1" x14ac:dyDescent="0.35">
      <c r="A101" s="21"/>
      <c r="B101" s="22" t="s">
        <v>172</v>
      </c>
      <c r="C101" s="22"/>
      <c r="D101" s="22"/>
      <c r="E101" s="152"/>
      <c r="F101" s="22"/>
      <c r="G101" s="22"/>
      <c r="H101" s="22"/>
      <c r="I101" s="1" t="s">
        <v>40</v>
      </c>
      <c r="J101" s="67"/>
      <c r="K101" s="1" t="s">
        <v>173</v>
      </c>
      <c r="L101" s="47" t="s">
        <v>164</v>
      </c>
      <c r="Q101" s="1">
        <f>IF(AND(J29=TRUE,E101=""),1,0)</f>
        <v>0</v>
      </c>
      <c r="R101" s="1" t="str">
        <f>IF(Q101=1,"["&amp;B101&amp;"]","")</f>
        <v/>
      </c>
      <c r="U101" s="18" t="s">
        <v>357</v>
      </c>
      <c r="V101" s="162">
        <v>92</v>
      </c>
    </row>
    <row r="102" spans="1:22" ht="16.5" customHeight="1" thickBot="1" x14ac:dyDescent="0.35">
      <c r="A102" s="21"/>
      <c r="B102" s="22" t="s">
        <v>174</v>
      </c>
      <c r="C102" s="22"/>
      <c r="D102" s="22"/>
      <c r="E102" s="152"/>
      <c r="F102" s="22"/>
      <c r="G102" s="22"/>
      <c r="H102" s="22"/>
      <c r="I102" s="1" t="s">
        <v>40</v>
      </c>
      <c r="J102" s="67"/>
      <c r="K102" s="1" t="s">
        <v>173</v>
      </c>
      <c r="L102" s="47" t="s">
        <v>164</v>
      </c>
      <c r="Q102" s="1">
        <f>IF(AND(J29=TRUE,E102=""),1,0)</f>
        <v>0</v>
      </c>
      <c r="R102" s="1" t="str">
        <f>IF(Q102=1,"["&amp;B102&amp;"]","")</f>
        <v/>
      </c>
      <c r="U102" s="18" t="s">
        <v>357</v>
      </c>
      <c r="V102" s="162">
        <v>93</v>
      </c>
    </row>
    <row r="103" spans="1:22" ht="16.5" customHeight="1" x14ac:dyDescent="0.3">
      <c r="A103" s="21"/>
      <c r="B103" s="22" t="s">
        <v>440</v>
      </c>
      <c r="C103" s="22"/>
      <c r="D103" s="22"/>
      <c r="E103" s="185">
        <v>2</v>
      </c>
      <c r="F103" s="22"/>
      <c r="G103" s="72"/>
      <c r="H103" s="22"/>
      <c r="I103" s="69" t="s">
        <v>108</v>
      </c>
      <c r="J103" s="183">
        <v>1</v>
      </c>
      <c r="K103" s="1" t="s">
        <v>173</v>
      </c>
      <c r="L103" s="47" t="s">
        <v>164</v>
      </c>
      <c r="Q103" s="1">
        <f>IF(AND(J29=TRUE,J103=1),1,0)</f>
        <v>0</v>
      </c>
      <c r="R103" s="1" t="str">
        <f>IF(J103=1,"["&amp;B103&amp;"]","")</f>
        <v>[Inventar beruht auf Standard (gem. § 3 Abs. 1 SEVO)]</v>
      </c>
      <c r="V103" s="162">
        <v>94</v>
      </c>
    </row>
    <row r="104" spans="1:22" ht="16.5" customHeight="1" x14ac:dyDescent="0.3">
      <c r="A104" s="21"/>
      <c r="B104" s="22" t="s">
        <v>439</v>
      </c>
      <c r="C104" s="22"/>
      <c r="D104" s="22"/>
      <c r="E104" s="185">
        <v>4</v>
      </c>
      <c r="F104" s="22"/>
      <c r="G104" s="72"/>
      <c r="H104" s="22"/>
      <c r="I104" s="69" t="s">
        <v>108</v>
      </c>
      <c r="J104" s="183">
        <v>1</v>
      </c>
      <c r="K104" s="1" t="s">
        <v>177</v>
      </c>
      <c r="L104" s="47"/>
      <c r="Q104" s="1">
        <f>IF(AND(J29=TRUE,J104=1),1,0)</f>
        <v>0</v>
      </c>
      <c r="R104" s="1" t="str">
        <f>IF(J104=1,"["&amp;B104&amp;"]","")</f>
        <v>[Revisionsunternehmen gemäss § 4 Abs. 2 SEVO]</v>
      </c>
      <c r="V104" s="162">
        <v>95</v>
      </c>
    </row>
    <row r="105" spans="1:22" ht="16.5" customHeight="1" x14ac:dyDescent="0.3">
      <c r="A105" s="21"/>
      <c r="B105" s="22"/>
      <c r="C105" s="22"/>
      <c r="D105" s="22"/>
      <c r="E105" s="22"/>
      <c r="F105" s="22"/>
      <c r="G105" s="22"/>
      <c r="H105" s="22"/>
      <c r="I105" s="1" t="str">
        <f>VLOOKUP(E104,Referenzen!A48:B67,2)</f>
        <v>BDO AG</v>
      </c>
      <c r="J105" s="67"/>
      <c r="V105" s="162">
        <v>96</v>
      </c>
    </row>
    <row r="106" spans="1:22" ht="16.5" customHeight="1" thickBot="1" x14ac:dyDescent="0.35">
      <c r="A106" s="21" t="s">
        <v>178</v>
      </c>
      <c r="B106" s="21"/>
      <c r="C106" s="22"/>
      <c r="D106" s="22"/>
      <c r="E106" s="22"/>
      <c r="F106" s="22"/>
      <c r="G106" s="22"/>
      <c r="H106" s="22"/>
      <c r="J106" s="67"/>
      <c r="M106" s="1" t="s">
        <v>179</v>
      </c>
      <c r="V106" s="162">
        <v>97</v>
      </c>
    </row>
    <row r="107" spans="1:22" ht="16.5" customHeight="1" thickBot="1" x14ac:dyDescent="0.35">
      <c r="A107" s="21"/>
      <c r="B107" s="22" t="s">
        <v>180</v>
      </c>
      <c r="C107" s="22"/>
      <c r="D107" s="22"/>
      <c r="E107" s="153"/>
      <c r="F107" s="73" t="s">
        <v>298</v>
      </c>
      <c r="G107" s="22"/>
      <c r="H107" s="22"/>
      <c r="I107" s="1" t="s">
        <v>182</v>
      </c>
      <c r="J107" s="67"/>
      <c r="K107" s="1" t="s">
        <v>183</v>
      </c>
      <c r="Q107" s="1">
        <f>IF(AND(J29=TRUE,E107=""),1,0)</f>
        <v>0</v>
      </c>
      <c r="R107" s="1" t="str">
        <f>IF(Q107=1,"["&amp;B107&amp;"]","")</f>
        <v/>
      </c>
      <c r="U107" s="18" t="s">
        <v>355</v>
      </c>
      <c r="V107" s="162">
        <v>98</v>
      </c>
    </row>
    <row r="108" spans="1:22" ht="16.5" customHeight="1" thickBot="1" x14ac:dyDescent="0.35">
      <c r="A108" s="21"/>
      <c r="B108" s="22" t="s">
        <v>184</v>
      </c>
      <c r="C108" s="22"/>
      <c r="D108" s="22"/>
      <c r="E108" s="153"/>
      <c r="F108" s="73" t="s">
        <v>181</v>
      </c>
      <c r="G108" s="22"/>
      <c r="H108" s="22"/>
      <c r="I108" s="1" t="s">
        <v>182</v>
      </c>
      <c r="J108" s="67"/>
      <c r="K108" s="1" t="s">
        <v>183</v>
      </c>
      <c r="Q108" s="1">
        <f>IF(AND(J29=TRUE,E108=""),1,0)</f>
        <v>0</v>
      </c>
      <c r="R108" s="1" t="str">
        <f>IF(Q108=1,"["&amp;B108&amp;"]","")</f>
        <v/>
      </c>
      <c r="U108" s="18" t="s">
        <v>355</v>
      </c>
      <c r="V108" s="162">
        <v>99</v>
      </c>
    </row>
    <row r="109" spans="1:22" ht="16.5" customHeight="1" x14ac:dyDescent="0.3">
      <c r="A109" s="21"/>
      <c r="B109" s="22"/>
      <c r="C109" s="22"/>
      <c r="D109" s="22"/>
      <c r="E109" s="22"/>
      <c r="F109" s="22"/>
      <c r="G109" s="22"/>
      <c r="H109" s="22"/>
      <c r="J109" s="67"/>
      <c r="V109" s="162">
        <v>100</v>
      </c>
    </row>
    <row r="110" spans="1:22" ht="16.5" customHeight="1" thickBot="1" x14ac:dyDescent="0.35">
      <c r="A110" s="21" t="s">
        <v>185</v>
      </c>
      <c r="B110" s="21"/>
      <c r="C110" s="22"/>
      <c r="D110" s="22"/>
      <c r="E110" s="22"/>
      <c r="F110" s="22"/>
      <c r="G110" s="22"/>
      <c r="H110" s="22"/>
      <c r="J110" s="67"/>
      <c r="L110" s="47"/>
      <c r="V110" s="162">
        <v>101</v>
      </c>
    </row>
    <row r="111" spans="1:22" ht="16.5" customHeight="1" thickBot="1" x14ac:dyDescent="0.35">
      <c r="A111" s="21"/>
      <c r="B111" s="22" t="s">
        <v>299</v>
      </c>
      <c r="C111" s="22"/>
      <c r="D111" s="22"/>
      <c r="E111" s="139"/>
      <c r="F111" s="22"/>
      <c r="G111" s="148" t="str">
        <f>IF(AND(E111&lt;&gt;"",ISNONTEXT(E111)=TRUE),"Bitte nur Text eingeben!","")</f>
        <v/>
      </c>
      <c r="H111" s="22"/>
      <c r="I111" s="69" t="s">
        <v>186</v>
      </c>
      <c r="J111" s="68"/>
      <c r="K111" s="1" t="s">
        <v>168</v>
      </c>
      <c r="L111" s="47" t="s">
        <v>187</v>
      </c>
      <c r="Q111" s="1">
        <f>IF(AND(J29=TRUE,E111=""),1,0)</f>
        <v>0</v>
      </c>
      <c r="R111" s="1" t="str">
        <f>IF(Q111=1,"["&amp;B111&amp;"]","")</f>
        <v/>
      </c>
      <c r="V111" s="162">
        <v>102</v>
      </c>
    </row>
    <row r="112" spans="1:22" ht="16.5" customHeight="1" thickBot="1" x14ac:dyDescent="0.35">
      <c r="A112" s="21"/>
      <c r="B112" s="22" t="s">
        <v>300</v>
      </c>
      <c r="C112" s="22"/>
      <c r="D112" s="22"/>
      <c r="E112" s="139"/>
      <c r="F112" s="22"/>
      <c r="G112" s="148" t="str">
        <f>IF(AND(E112&lt;&gt;"",ISNONTEXT(E112)=TRUE),"Bitte nur Text eingeben!","")</f>
        <v/>
      </c>
      <c r="H112" s="22"/>
      <c r="I112" s="69" t="s">
        <v>186</v>
      </c>
      <c r="J112" s="71"/>
      <c r="K112" s="1" t="s">
        <v>168</v>
      </c>
      <c r="L112" s="47" t="s">
        <v>187</v>
      </c>
      <c r="Q112" s="1">
        <f>IF(AND(J29=TRUE,E112=""),1,0)</f>
        <v>0</v>
      </c>
      <c r="R112" s="1" t="str">
        <f>IF(Q112=1,"["&amp;B112&amp;"]","")</f>
        <v/>
      </c>
      <c r="V112" s="162">
        <v>103</v>
      </c>
    </row>
    <row r="113" spans="1:22" ht="16.5" customHeight="1" x14ac:dyDescent="0.3">
      <c r="A113" s="21"/>
      <c r="B113" s="22"/>
      <c r="C113" s="22"/>
      <c r="D113" s="22"/>
      <c r="E113" s="22"/>
      <c r="F113" s="22"/>
      <c r="G113" s="22"/>
      <c r="H113" s="22"/>
      <c r="I113" s="14"/>
      <c r="J113" s="71"/>
      <c r="L113" s="47"/>
      <c r="V113" s="162">
        <v>104</v>
      </c>
    </row>
    <row r="114" spans="1:22" ht="16.5" customHeight="1" thickBot="1" x14ac:dyDescent="0.35">
      <c r="A114" s="21" t="s">
        <v>302</v>
      </c>
      <c r="B114" s="22"/>
      <c r="C114" s="22"/>
      <c r="D114" s="22"/>
      <c r="E114" s="22"/>
      <c r="F114" s="22"/>
      <c r="G114" s="22"/>
      <c r="H114" s="22"/>
      <c r="I114" s="14"/>
      <c r="J114" s="71"/>
      <c r="L114" s="47"/>
      <c r="V114" s="162">
        <v>105</v>
      </c>
    </row>
    <row r="115" spans="1:22" ht="16.5" customHeight="1" thickBot="1" x14ac:dyDescent="0.35">
      <c r="A115" s="21"/>
      <c r="B115" s="22" t="s">
        <v>180</v>
      </c>
      <c r="C115" s="22"/>
      <c r="D115" s="22"/>
      <c r="E115" s="153"/>
      <c r="F115" s="73" t="str">
        <f>_xlfn.CONCAT(E112," ",E111)</f>
        <v xml:space="preserve"> </v>
      </c>
      <c r="G115" s="22"/>
      <c r="H115" s="22"/>
      <c r="I115" s="1" t="s">
        <v>182</v>
      </c>
      <c r="J115" s="67"/>
      <c r="K115" s="1" t="s">
        <v>183</v>
      </c>
      <c r="Q115" s="99">
        <f>IF(AND(J29=TRUE,E115=""),1,0)</f>
        <v>0</v>
      </c>
      <c r="R115" s="1" t="str">
        <f>IF(Q115=1,"["&amp;B115&amp;"]","")</f>
        <v/>
      </c>
      <c r="U115" s="18" t="s">
        <v>355</v>
      </c>
      <c r="V115" s="162">
        <v>106</v>
      </c>
    </row>
    <row r="116" spans="1:22" ht="16.5" customHeight="1" thickBot="1" x14ac:dyDescent="0.35">
      <c r="A116" s="21"/>
      <c r="B116" s="22" t="s">
        <v>184</v>
      </c>
      <c r="C116" s="22"/>
      <c r="D116" s="22"/>
      <c r="E116" s="153"/>
      <c r="F116" s="73" t="str">
        <f>F115</f>
        <v xml:space="preserve"> </v>
      </c>
      <c r="G116" s="22"/>
      <c r="H116" s="22"/>
      <c r="I116" s="1" t="s">
        <v>182</v>
      </c>
      <c r="J116" s="67"/>
      <c r="K116" s="1" t="s">
        <v>183</v>
      </c>
      <c r="Q116" s="99">
        <f>IF(AND(J29=TRUE,E116=""),1,0)</f>
        <v>0</v>
      </c>
      <c r="R116" s="1" t="str">
        <f>IF(Q116=1,"["&amp;B116&amp;"]","")</f>
        <v/>
      </c>
      <c r="U116" s="18" t="s">
        <v>355</v>
      </c>
      <c r="V116" s="162">
        <v>107</v>
      </c>
    </row>
    <row r="117" spans="1:22" ht="16.5" customHeight="1" x14ac:dyDescent="0.3">
      <c r="A117" s="21"/>
      <c r="B117" s="22"/>
      <c r="C117" s="22"/>
      <c r="D117" s="22"/>
      <c r="E117" s="22"/>
      <c r="F117" s="73"/>
      <c r="G117" s="22"/>
      <c r="H117" s="22"/>
      <c r="J117" s="67"/>
      <c r="V117" s="162">
        <v>108</v>
      </c>
    </row>
    <row r="118" spans="1:22" ht="16.5" customHeight="1" x14ac:dyDescent="0.3">
      <c r="A118" s="21" t="s">
        <v>189</v>
      </c>
      <c r="B118" s="22"/>
      <c r="C118" s="22"/>
      <c r="D118" s="22"/>
      <c r="E118" s="22"/>
      <c r="F118" s="73"/>
      <c r="G118" s="22"/>
      <c r="H118" s="22"/>
      <c r="I118" s="1" t="s">
        <v>190</v>
      </c>
      <c r="J118" s="67"/>
      <c r="V118" s="162">
        <v>109</v>
      </c>
    </row>
    <row r="119" spans="1:22" ht="16.5" customHeight="1" x14ac:dyDescent="0.3">
      <c r="A119" s="21"/>
      <c r="B119" s="22" t="s">
        <v>191</v>
      </c>
      <c r="C119" s="22"/>
      <c r="D119" s="22"/>
      <c r="E119" s="149">
        <f>IF(E107*E115&gt;0,E107/E115,0)</f>
        <v>0</v>
      </c>
      <c r="F119" s="75" t="str">
        <f>_xlfn.CONCAT("Emissionen / ",E111)</f>
        <v xml:space="preserve">Emissionen / </v>
      </c>
      <c r="G119" s="76"/>
      <c r="H119" s="22"/>
      <c r="I119" s="47"/>
      <c r="J119" s="67"/>
      <c r="K119" s="1" t="s">
        <v>168</v>
      </c>
      <c r="V119" s="162">
        <v>110</v>
      </c>
    </row>
    <row r="120" spans="1:22" ht="16.5" customHeight="1" x14ac:dyDescent="0.3">
      <c r="A120" s="21"/>
      <c r="B120" s="22" t="s">
        <v>192</v>
      </c>
      <c r="C120" s="22"/>
      <c r="D120" s="22"/>
      <c r="E120" s="149">
        <f>IF(E108*E116&gt;0,E108/E116,0)</f>
        <v>0</v>
      </c>
      <c r="F120" s="75" t="str">
        <f>F119</f>
        <v xml:space="preserve">Emissionen / </v>
      </c>
      <c r="G120" s="76"/>
      <c r="H120" s="22"/>
      <c r="I120" s="47"/>
      <c r="J120" s="67"/>
      <c r="K120" s="1" t="s">
        <v>168</v>
      </c>
      <c r="V120" s="162">
        <v>111</v>
      </c>
    </row>
    <row r="121" spans="1:22" ht="16.5" customHeight="1" x14ac:dyDescent="0.3">
      <c r="A121" s="21"/>
      <c r="B121" s="77" t="s">
        <v>193</v>
      </c>
      <c r="C121" s="22"/>
      <c r="D121" s="22"/>
      <c r="E121" s="73">
        <f>E115*E120</f>
        <v>0</v>
      </c>
      <c r="F121" s="73" t="s">
        <v>181</v>
      </c>
      <c r="G121" s="22"/>
      <c r="H121" s="22"/>
      <c r="I121" s="78" t="str">
        <f>_xlfn.CONCAT(E$55, " * Emissionsintensität Vorjahr")</f>
        <v xml:space="preserve"> * Emissionsintensität Vorjahr</v>
      </c>
      <c r="J121" s="79"/>
      <c r="V121" s="162">
        <v>112</v>
      </c>
    </row>
    <row r="122" spans="1:22" ht="16.5" customHeight="1" x14ac:dyDescent="0.3">
      <c r="A122" s="21"/>
      <c r="B122" s="77" t="s">
        <v>194</v>
      </c>
      <c r="C122" s="22"/>
      <c r="D122" s="21"/>
      <c r="E122" s="80">
        <f>IF(E121*E107&gt;0,E121-E107,0)</f>
        <v>0</v>
      </c>
      <c r="F122" s="73" t="s">
        <v>181</v>
      </c>
      <c r="G122" s="22"/>
      <c r="H122" s="22"/>
      <c r="I122" s="78" t="s">
        <v>195</v>
      </c>
      <c r="J122" s="79"/>
      <c r="Q122" s="1">
        <f>IF(AND(E122&gt;0,Datensatz!W2=FALSE),1,0)</f>
        <v>0</v>
      </c>
      <c r="R122" s="1" t="str">
        <f>IF(Q122=1,"[In Zeile 29 CO2-Reduktion ankreuzen]","")</f>
        <v/>
      </c>
      <c r="V122" s="162">
        <v>113</v>
      </c>
    </row>
    <row r="123" spans="1:22" ht="16.5" customHeight="1" x14ac:dyDescent="0.3">
      <c r="A123" s="21"/>
      <c r="B123" s="22"/>
      <c r="C123" s="21"/>
      <c r="D123" s="21"/>
      <c r="E123" s="80"/>
      <c r="F123" s="73"/>
      <c r="G123" s="22"/>
      <c r="H123" s="22"/>
      <c r="J123" s="67"/>
      <c r="V123" s="162">
        <v>114</v>
      </c>
    </row>
    <row r="124" spans="1:22" ht="16.5" customHeight="1" thickBot="1" x14ac:dyDescent="0.35">
      <c r="A124" s="21"/>
      <c r="B124" s="22" t="s">
        <v>390</v>
      </c>
      <c r="C124" s="21"/>
      <c r="D124" s="21"/>
      <c r="E124" s="80"/>
      <c r="F124" s="73"/>
      <c r="G124" s="22"/>
      <c r="H124" s="22"/>
      <c r="J124" s="67"/>
    </row>
    <row r="125" spans="1:22" ht="64.8" customHeight="1" thickBot="1" x14ac:dyDescent="0.35">
      <c r="A125" s="21"/>
      <c r="B125" s="252"/>
      <c r="C125" s="253"/>
      <c r="D125" s="253"/>
      <c r="E125" s="253"/>
      <c r="F125" s="253"/>
      <c r="G125" s="254"/>
      <c r="H125" s="22"/>
      <c r="J125" s="67"/>
      <c r="Q125" s="1">
        <f>IF(AND(J29=TRUE,B125=""),1,0)</f>
        <v>0</v>
      </c>
      <c r="R125" s="1" t="str">
        <f>IF(Q125=1,"[Berechnungsmethode Emissionen]","")</f>
        <v/>
      </c>
    </row>
    <row r="126" spans="1:22" ht="16.5" customHeight="1" x14ac:dyDescent="0.3">
      <c r="A126" s="21"/>
      <c r="B126" s="22"/>
      <c r="C126" s="21"/>
      <c r="D126" s="21"/>
      <c r="E126" s="80"/>
      <c r="F126" s="73"/>
      <c r="G126" s="22"/>
      <c r="H126" s="22"/>
      <c r="J126" s="67"/>
    </row>
    <row r="127" spans="1:22" ht="16.5" customHeight="1" x14ac:dyDescent="0.3">
      <c r="A127" s="21" t="s">
        <v>196</v>
      </c>
      <c r="B127" s="21"/>
      <c r="C127" s="22"/>
      <c r="D127" s="22"/>
      <c r="E127" s="22"/>
      <c r="F127" s="22"/>
      <c r="G127" s="22"/>
      <c r="H127" s="22"/>
      <c r="I127" s="1" t="s">
        <v>197</v>
      </c>
      <c r="J127" s="67"/>
      <c r="V127" s="162">
        <v>115</v>
      </c>
    </row>
    <row r="128" spans="1:22" ht="16.5" customHeight="1" x14ac:dyDescent="0.3">
      <c r="A128" s="77" t="s">
        <v>198</v>
      </c>
      <c r="B128" s="21"/>
      <c r="C128" s="22"/>
      <c r="D128" s="22"/>
      <c r="E128" s="22"/>
      <c r="F128" s="22"/>
      <c r="G128" s="22"/>
      <c r="H128" s="22"/>
      <c r="J128" s="67"/>
      <c r="K128" s="1" t="s">
        <v>199</v>
      </c>
      <c r="L128" s="47" t="s">
        <v>200</v>
      </c>
      <c r="V128" s="162">
        <v>116</v>
      </c>
    </row>
    <row r="129" spans="1:22" ht="16.5" customHeight="1" x14ac:dyDescent="0.3">
      <c r="A129" s="21"/>
      <c r="B129" s="21"/>
      <c r="C129" s="89"/>
      <c r="D129" s="22"/>
      <c r="E129" s="22"/>
      <c r="F129" s="123" t="str">
        <f>"("&amp;Datensatz!AY2&amp;")"</f>
        <v>(0)</v>
      </c>
      <c r="G129" s="22"/>
      <c r="H129" s="22"/>
      <c r="I129" s="1" t="s">
        <v>201</v>
      </c>
      <c r="J129" s="67"/>
      <c r="K129" s="1" t="s">
        <v>177</v>
      </c>
      <c r="O129" s="1" t="b">
        <f>Datensatz!BL2</f>
        <v>0</v>
      </c>
      <c r="Q129" s="1">
        <f>IF(AND(J29=TRUE,O129=FALSE),1,0)</f>
        <v>0</v>
      </c>
      <c r="R129" s="1" t="str">
        <f>IF(O129=FALSE,"[Bestätigung Treibhausgasinventar]","")</f>
        <v>[Bestätigung Treibhausgasinventar]</v>
      </c>
      <c r="V129" s="162">
        <v>117</v>
      </c>
    </row>
    <row r="130" spans="1:22" ht="16.5" customHeight="1" x14ac:dyDescent="0.3">
      <c r="A130" s="21"/>
      <c r="B130" s="21"/>
      <c r="C130" s="89"/>
      <c r="D130" s="22"/>
      <c r="E130" s="22"/>
      <c r="F130" s="22"/>
      <c r="G130" s="22"/>
      <c r="H130" s="22"/>
      <c r="I130" s="1" t="s">
        <v>201</v>
      </c>
      <c r="J130" s="67"/>
      <c r="K130" s="1" t="s">
        <v>177</v>
      </c>
      <c r="O130" s="1" t="b">
        <f>Datensatz!BM2</f>
        <v>0</v>
      </c>
      <c r="Q130" s="1">
        <f>IF(AND(J29=TRUE,O130=FALSE),1,0)</f>
        <v>0</v>
      </c>
      <c r="R130" s="1" t="str">
        <f>IF(O130=FALSE,"[Bestätigung keine Offsets]","")</f>
        <v>[Bestätigung keine Offsets]</v>
      </c>
      <c r="V130" s="162">
        <v>118</v>
      </c>
    </row>
    <row r="131" spans="1:22" ht="16.5" customHeight="1" x14ac:dyDescent="0.3">
      <c r="A131" s="21"/>
      <c r="B131" s="21"/>
      <c r="C131" s="90"/>
      <c r="D131" s="22"/>
      <c r="E131" s="22"/>
      <c r="F131" s="22"/>
      <c r="G131" s="22"/>
      <c r="H131" s="22"/>
      <c r="I131" s="1" t="s">
        <v>201</v>
      </c>
      <c r="J131" s="67"/>
      <c r="K131" s="1" t="s">
        <v>177</v>
      </c>
      <c r="O131" s="1" t="b">
        <f>Datensatz!BN2</f>
        <v>0</v>
      </c>
      <c r="Q131" s="1">
        <f>IF(AND(J29=TRUE,O131=FALSE),1,0)</f>
        <v>0</v>
      </c>
      <c r="R131" s="1" t="str">
        <f>IF(O131=FALSE,"[Bestätigung branchenübliche Messgrösse]","")</f>
        <v>[Bestätigung branchenübliche Messgrösse]</v>
      </c>
      <c r="V131" s="162">
        <v>119</v>
      </c>
    </row>
    <row r="132" spans="1:22" ht="16.5" customHeight="1" x14ac:dyDescent="0.3">
      <c r="A132" s="21"/>
      <c r="B132" s="21"/>
      <c r="C132" s="89"/>
      <c r="D132" s="22"/>
      <c r="E132" s="22"/>
      <c r="F132" s="22"/>
      <c r="G132" s="22"/>
      <c r="H132" s="22"/>
      <c r="I132" s="1" t="s">
        <v>201</v>
      </c>
      <c r="J132" s="67"/>
      <c r="K132" s="1" t="s">
        <v>177</v>
      </c>
      <c r="O132" s="1" t="b">
        <f>Datensatz!BO2</f>
        <v>0</v>
      </c>
      <c r="Q132" s="1">
        <f>IF(AND(J29=TRUE,O132=FALSE),1,0)</f>
        <v>0</v>
      </c>
      <c r="R132" s="1" t="str">
        <f>IF(O132=FALSE,"[Bestätigung Beleg der Emissionsintensität]","")</f>
        <v>[Bestätigung Beleg der Emissionsintensität]</v>
      </c>
      <c r="V132" s="162">
        <v>120</v>
      </c>
    </row>
    <row r="133" spans="1:22" ht="16.5" customHeight="1" x14ac:dyDescent="0.3">
      <c r="A133" s="21"/>
      <c r="B133" s="21"/>
      <c r="C133" s="89"/>
      <c r="D133" s="22"/>
      <c r="E133" s="22"/>
      <c r="F133" s="22"/>
      <c r="G133" s="123" t="str">
        <f>"("&amp;Datensatz!AZ2&amp;")"</f>
        <v>(0)</v>
      </c>
      <c r="H133" s="22"/>
      <c r="I133" s="1" t="s">
        <v>204</v>
      </c>
      <c r="J133" s="67"/>
      <c r="K133" s="1" t="s">
        <v>177</v>
      </c>
      <c r="O133" s="1" t="str">
        <f>Datensatz!BP2</f>
        <v>Limited Assurance Report</v>
      </c>
      <c r="Q133" s="1">
        <f>IF(AND(J29=TRUE,O133=""),1,0)</f>
        <v>0</v>
      </c>
      <c r="R133" s="1" t="str">
        <f>IF(O133="","[Bestätigung Assurance Report]","")</f>
        <v/>
      </c>
      <c r="V133" s="162">
        <v>121</v>
      </c>
    </row>
    <row r="134" spans="1:22" ht="16.5" customHeight="1" x14ac:dyDescent="0.3">
      <c r="A134" s="21"/>
      <c r="B134" s="21"/>
      <c r="C134" s="89"/>
      <c r="D134" s="22"/>
      <c r="E134" s="22"/>
      <c r="F134" s="22"/>
      <c r="G134" s="123" t="str">
        <f>G133</f>
        <v>(0)</v>
      </c>
      <c r="H134" s="22"/>
      <c r="I134" s="1" t="s">
        <v>204</v>
      </c>
      <c r="J134" s="67"/>
      <c r="K134" s="1" t="s">
        <v>177</v>
      </c>
      <c r="N134" s="141">
        <v>2</v>
      </c>
      <c r="V134" s="162">
        <v>122</v>
      </c>
    </row>
    <row r="135" spans="1:22" ht="16.5" customHeight="1" x14ac:dyDescent="0.3">
      <c r="A135" s="21"/>
      <c r="B135" s="22"/>
      <c r="C135" s="22"/>
      <c r="D135" s="22"/>
      <c r="E135" s="22"/>
      <c r="F135" s="22"/>
      <c r="G135" s="22"/>
      <c r="H135" s="22"/>
      <c r="J135" s="67"/>
      <c r="L135" s="82"/>
      <c r="V135" s="162">
        <v>123</v>
      </c>
    </row>
    <row r="136" spans="1:22" ht="16.5" customHeight="1" x14ac:dyDescent="0.3">
      <c r="V136" s="162">
        <v>124</v>
      </c>
    </row>
    <row r="137" spans="1:22" ht="30.75" customHeight="1" x14ac:dyDescent="0.3">
      <c r="A137" s="23" t="str">
        <f>"Zusammenfassung des Förderanspruchs für das Jahr "&amp;C3</f>
        <v>Zusammenfassung des Förderanspruchs für das Jahr 2025</v>
      </c>
      <c r="B137" s="24"/>
      <c r="C137" s="24"/>
      <c r="D137" s="24"/>
      <c r="E137" s="24"/>
      <c r="F137" s="24"/>
      <c r="G137" s="24"/>
      <c r="H137" s="24"/>
      <c r="V137" s="162">
        <v>125</v>
      </c>
    </row>
    <row r="138" spans="1:22" ht="11.25" customHeight="1" x14ac:dyDescent="0.3">
      <c r="A138" s="25"/>
      <c r="B138" s="24"/>
      <c r="C138" s="24"/>
      <c r="D138" s="24"/>
      <c r="E138" s="24"/>
      <c r="F138" s="24"/>
      <c r="G138" s="24"/>
      <c r="H138" s="24"/>
      <c r="V138" s="162">
        <v>126</v>
      </c>
    </row>
    <row r="139" spans="1:22" ht="16.5" customHeight="1" x14ac:dyDescent="0.3">
      <c r="A139" s="25" t="s">
        <v>0</v>
      </c>
      <c r="B139" s="24"/>
      <c r="C139" s="24"/>
      <c r="D139" s="24"/>
      <c r="E139" s="24"/>
      <c r="F139" s="24"/>
      <c r="G139" s="93" t="s">
        <v>354</v>
      </c>
      <c r="H139" s="24"/>
      <c r="V139" s="162">
        <v>127</v>
      </c>
    </row>
    <row r="140" spans="1:22" ht="16.5" customHeight="1" x14ac:dyDescent="0.3">
      <c r="A140" s="25"/>
      <c r="B140" s="24" t="s">
        <v>41</v>
      </c>
      <c r="C140" s="24"/>
      <c r="D140" s="24"/>
      <c r="E140" s="24"/>
      <c r="F140" s="24"/>
      <c r="G140" s="26">
        <f>B81</f>
        <v>0</v>
      </c>
      <c r="H140" s="24"/>
      <c r="V140" s="162">
        <v>128</v>
      </c>
    </row>
    <row r="141" spans="1:22" ht="16.5" customHeight="1" x14ac:dyDescent="0.3">
      <c r="A141" s="25"/>
      <c r="B141" s="24" t="s">
        <v>43</v>
      </c>
      <c r="C141" s="24"/>
      <c r="D141" s="24"/>
      <c r="E141" s="174">
        <v>0.35</v>
      </c>
      <c r="F141" s="24"/>
      <c r="G141" s="26">
        <f>G140*E141</f>
        <v>0</v>
      </c>
      <c r="H141" s="24"/>
      <c r="V141" s="162">
        <v>129</v>
      </c>
    </row>
    <row r="142" spans="1:22" ht="16.5" customHeight="1" x14ac:dyDescent="0.3">
      <c r="A142" s="25"/>
      <c r="B142" s="24" t="s">
        <v>408</v>
      </c>
      <c r="C142" s="24"/>
      <c r="D142" s="24"/>
      <c r="E142" s="174"/>
      <c r="F142" s="24"/>
      <c r="G142" s="26">
        <f>E84</f>
        <v>0</v>
      </c>
      <c r="H142" s="24"/>
    </row>
    <row r="143" spans="1:22" ht="16.5" customHeight="1" x14ac:dyDescent="0.3">
      <c r="A143" s="25"/>
      <c r="B143" s="27" t="s">
        <v>409</v>
      </c>
      <c r="C143" s="27"/>
      <c r="D143" s="27"/>
      <c r="E143" s="28"/>
      <c r="F143" s="27"/>
      <c r="G143" s="29">
        <f>E85</f>
        <v>0</v>
      </c>
      <c r="H143" s="24"/>
    </row>
    <row r="144" spans="1:22" ht="21.75" customHeight="1" x14ac:dyDescent="0.3">
      <c r="A144" s="25"/>
      <c r="B144" s="24" t="s">
        <v>42</v>
      </c>
      <c r="C144" s="24"/>
      <c r="D144" s="24"/>
      <c r="E144" s="93"/>
      <c r="F144" s="24"/>
      <c r="G144" s="26">
        <f>SUM(G140:G143)</f>
        <v>0</v>
      </c>
      <c r="H144" s="24"/>
      <c r="V144" s="162">
        <v>130</v>
      </c>
    </row>
    <row r="145" spans="1:24" ht="26.25" customHeight="1" x14ac:dyDescent="0.3">
      <c r="A145" s="25"/>
      <c r="B145" s="30" t="s">
        <v>44</v>
      </c>
      <c r="C145" s="30"/>
      <c r="D145" s="30"/>
      <c r="E145" s="31">
        <v>0.25</v>
      </c>
      <c r="F145" s="30"/>
      <c r="G145" s="32">
        <f>IF(Datensatz!V2=TRUE,G144*E145,0)</f>
        <v>0</v>
      </c>
      <c r="H145" s="24"/>
      <c r="V145" s="162">
        <v>131</v>
      </c>
    </row>
    <row r="146" spans="1:24" ht="16.5" customHeight="1" x14ac:dyDescent="0.3">
      <c r="A146" s="25"/>
      <c r="B146" s="24"/>
      <c r="C146" s="24"/>
      <c r="D146" s="24"/>
      <c r="E146" s="24"/>
      <c r="F146" s="24"/>
      <c r="G146" s="24"/>
      <c r="H146" s="24"/>
      <c r="V146" s="162">
        <v>132</v>
      </c>
    </row>
    <row r="147" spans="1:24" ht="16.5" customHeight="1" x14ac:dyDescent="0.3">
      <c r="A147" s="25" t="s">
        <v>39</v>
      </c>
      <c r="B147" s="24"/>
      <c r="C147" s="24"/>
      <c r="D147" s="24"/>
      <c r="E147" s="24"/>
      <c r="F147" s="24"/>
      <c r="G147" s="24"/>
      <c r="H147" s="24"/>
      <c r="V147" s="162">
        <v>133</v>
      </c>
    </row>
    <row r="148" spans="1:24" ht="16.5" customHeight="1" x14ac:dyDescent="0.3">
      <c r="A148" s="25"/>
      <c r="B148" s="24" t="s">
        <v>45</v>
      </c>
      <c r="C148" s="24"/>
      <c r="D148" s="24"/>
      <c r="E148" s="24"/>
      <c r="F148" s="24"/>
      <c r="G148" s="26">
        <f>IF(E122&lt;50000,0,E122)</f>
        <v>0</v>
      </c>
      <c r="H148" s="24"/>
      <c r="V148" s="162">
        <v>134</v>
      </c>
    </row>
    <row r="149" spans="1:24" ht="16.5" customHeight="1" x14ac:dyDescent="0.3">
      <c r="A149" s="25"/>
      <c r="B149" s="27" t="s">
        <v>48</v>
      </c>
      <c r="C149" s="27"/>
      <c r="D149" s="27"/>
      <c r="E149" s="28"/>
      <c r="F149" s="27"/>
      <c r="G149" s="27">
        <v>30</v>
      </c>
      <c r="H149" s="24"/>
      <c r="V149" s="162">
        <v>135</v>
      </c>
    </row>
    <row r="150" spans="1:24" ht="26.25" customHeight="1" x14ac:dyDescent="0.3">
      <c r="A150" s="25"/>
      <c r="B150" s="30" t="str">
        <f>IF(A30="","Förderung der CO2-Reduktion","Keine Förderung der CO2-Reduktion, da Personalaufwand &lt; 1.5 Millionen Franken")</f>
        <v>Förderung der CO2-Reduktion</v>
      </c>
      <c r="C150" s="30"/>
      <c r="D150" s="30"/>
      <c r="E150" s="30"/>
      <c r="F150" s="30"/>
      <c r="G150" s="32">
        <f>IF(AND(Datensatz!W2=TRUE,A30=""),G148*G149,0)</f>
        <v>0</v>
      </c>
      <c r="H150" s="24"/>
      <c r="V150" s="162">
        <v>136</v>
      </c>
      <c r="X150" s="180"/>
    </row>
    <row r="151" spans="1:24" ht="16.5" customHeight="1" x14ac:dyDescent="0.3">
      <c r="A151" s="25"/>
      <c r="B151" s="24"/>
      <c r="C151" s="24"/>
      <c r="D151" s="24"/>
      <c r="E151" s="24"/>
      <c r="F151" s="24"/>
      <c r="G151" s="24"/>
      <c r="H151" s="24"/>
      <c r="V151" s="162">
        <v>137</v>
      </c>
    </row>
    <row r="152" spans="1:24" ht="16.5" customHeight="1" x14ac:dyDescent="0.3">
      <c r="A152" s="25"/>
      <c r="B152" s="24"/>
      <c r="C152" s="24"/>
      <c r="D152" s="24"/>
      <c r="E152" s="24"/>
      <c r="F152" s="24"/>
      <c r="G152" s="24"/>
      <c r="H152" s="24"/>
      <c r="V152" s="162">
        <v>138</v>
      </c>
    </row>
    <row r="153" spans="1:24" ht="16.5" customHeight="1" x14ac:dyDescent="0.3">
      <c r="A153" s="25" t="s">
        <v>47</v>
      </c>
      <c r="B153" s="24"/>
      <c r="C153" s="24"/>
      <c r="D153" s="24"/>
      <c r="E153" s="24"/>
      <c r="F153" s="24"/>
      <c r="G153" s="24"/>
      <c r="H153" s="24"/>
      <c r="V153" s="162">
        <v>139</v>
      </c>
    </row>
    <row r="154" spans="1:24" ht="16.5" customHeight="1" x14ac:dyDescent="0.3">
      <c r="A154" s="25"/>
      <c r="B154" s="24" t="s">
        <v>46</v>
      </c>
      <c r="C154" s="24"/>
      <c r="D154" s="24"/>
      <c r="E154" s="24"/>
      <c r="F154" s="24"/>
      <c r="G154" s="26">
        <f>G145+G150</f>
        <v>0</v>
      </c>
      <c r="H154" s="24"/>
      <c r="V154" s="162">
        <v>140</v>
      </c>
    </row>
    <row r="155" spans="1:24" ht="16.5" customHeight="1" x14ac:dyDescent="0.3">
      <c r="A155" s="25"/>
      <c r="B155" s="27" t="s">
        <v>49</v>
      </c>
      <c r="C155" s="27"/>
      <c r="D155" s="27"/>
      <c r="E155" s="27"/>
      <c r="F155" s="27"/>
      <c r="G155" s="33">
        <v>7500</v>
      </c>
      <c r="H155" s="24"/>
      <c r="I155" s="1" t="s">
        <v>206</v>
      </c>
      <c r="V155" s="162">
        <v>141</v>
      </c>
    </row>
    <row r="156" spans="1:24" ht="26.25" customHeight="1" thickBot="1" x14ac:dyDescent="0.35">
      <c r="A156" s="25"/>
      <c r="B156" s="35" t="s">
        <v>52</v>
      </c>
      <c r="C156" s="35"/>
      <c r="D156" s="35"/>
      <c r="E156" s="35"/>
      <c r="F156" s="35"/>
      <c r="G156" s="36">
        <f>IF(G155&gt;G154,0,G154)</f>
        <v>0</v>
      </c>
      <c r="H156" s="24"/>
      <c r="I156" s="1" t="s">
        <v>72</v>
      </c>
      <c r="V156" s="162">
        <v>142</v>
      </c>
    </row>
    <row r="157" spans="1:24" ht="8.25" customHeight="1" thickTop="1" x14ac:dyDescent="0.3">
      <c r="A157" s="25"/>
      <c r="B157" s="24"/>
      <c r="C157" s="24"/>
      <c r="D157" s="24"/>
      <c r="E157" s="24"/>
      <c r="F157" s="24"/>
      <c r="G157" s="24"/>
      <c r="H157" s="24"/>
      <c r="V157" s="162">
        <v>143</v>
      </c>
    </row>
    <row r="158" spans="1:24" ht="35.4" customHeight="1" x14ac:dyDescent="0.3">
      <c r="A158" s="34" t="s">
        <v>50</v>
      </c>
      <c r="B158" s="241" t="s">
        <v>391</v>
      </c>
      <c r="C158" s="241"/>
      <c r="D158" s="241"/>
      <c r="E158" s="241"/>
      <c r="F158" s="241"/>
      <c r="G158" s="241"/>
      <c r="H158" s="24"/>
      <c r="I158" s="1" t="s">
        <v>207</v>
      </c>
      <c r="V158" s="162">
        <v>144</v>
      </c>
    </row>
    <row r="159" spans="1:24" ht="4.8" customHeight="1" x14ac:dyDescent="0.3">
      <c r="A159" s="25"/>
      <c r="B159" s="24"/>
      <c r="C159" s="24"/>
      <c r="D159" s="24"/>
      <c r="E159" s="24"/>
      <c r="F159" s="24"/>
      <c r="G159" s="24"/>
      <c r="H159" s="24"/>
      <c r="V159" s="162">
        <v>145</v>
      </c>
    </row>
    <row r="160" spans="1:24" ht="16.5" customHeight="1" x14ac:dyDescent="0.3">
      <c r="A160" s="25"/>
      <c r="B160" s="24"/>
      <c r="C160" s="24"/>
      <c r="D160" s="24"/>
      <c r="E160" s="24"/>
      <c r="F160" s="24"/>
      <c r="G160" s="24"/>
      <c r="H160" s="24"/>
      <c r="V160" s="162">
        <v>146</v>
      </c>
    </row>
    <row r="161" spans="1:22" ht="16.5" customHeight="1" x14ac:dyDescent="0.3">
      <c r="A161" s="25" t="s">
        <v>331</v>
      </c>
      <c r="B161" s="24"/>
      <c r="C161" s="24"/>
      <c r="D161" s="24"/>
      <c r="E161" s="24"/>
      <c r="F161" s="24"/>
      <c r="G161" s="24"/>
      <c r="H161" s="24"/>
      <c r="V161" s="162">
        <v>147</v>
      </c>
    </row>
    <row r="162" spans="1:22" ht="16.5" customHeight="1" x14ac:dyDescent="0.3">
      <c r="A162" s="25"/>
      <c r="B162" s="25"/>
      <c r="C162" s="24"/>
      <c r="D162" s="24"/>
      <c r="E162" s="24"/>
      <c r="F162" s="24"/>
      <c r="G162" s="24"/>
      <c r="H162" s="24"/>
      <c r="J162" s="1" t="s">
        <v>37</v>
      </c>
      <c r="Q162" s="1">
        <f>IF(Datensatz!BV2=FALSE,1,0)</f>
        <v>1</v>
      </c>
      <c r="R162" s="1" t="str">
        <f>IF(Q162=1,"[Berechnungsübersicht]","")</f>
        <v>[Berechnungsübersicht]</v>
      </c>
      <c r="V162" s="162">
        <v>148</v>
      </c>
    </row>
    <row r="163" spans="1:22" ht="16.5" customHeight="1" x14ac:dyDescent="0.3">
      <c r="A163" s="25"/>
      <c r="B163" s="25"/>
      <c r="C163" s="24"/>
      <c r="D163" s="24"/>
      <c r="E163" s="24"/>
      <c r="F163" s="24"/>
      <c r="G163" s="24"/>
      <c r="H163" s="24"/>
      <c r="J163" s="1" t="s">
        <v>37</v>
      </c>
      <c r="Q163" s="1">
        <f>IF(Datensatz!BW2=FALSE,1,0)</f>
        <v>1</v>
      </c>
      <c r="R163" s="1" t="str">
        <f>IF(Q163=1,"[Beleg mit Basisdaten]","")</f>
        <v>[Beleg mit Basisdaten]</v>
      </c>
      <c r="V163" s="162">
        <v>149</v>
      </c>
    </row>
    <row r="164" spans="1:22" ht="16.5" customHeight="1" x14ac:dyDescent="0.3">
      <c r="A164" s="25"/>
      <c r="B164" s="25"/>
      <c r="C164" s="24"/>
      <c r="D164" s="24"/>
      <c r="E164" s="24"/>
      <c r="F164" s="24"/>
      <c r="G164" s="24"/>
      <c r="H164" s="24"/>
      <c r="J164" s="1" t="s">
        <v>211</v>
      </c>
      <c r="Q164" s="1">
        <f>IF(J29=FALSE,0,IF(Datensatz!BX2=FALSE,1,0))</f>
        <v>0</v>
      </c>
      <c r="R164" s="1" t="str">
        <f>IF(Q164=1,"[Beilagen für Nachhaltigkeitsförderung]","")</f>
        <v/>
      </c>
      <c r="V164" s="162">
        <v>150</v>
      </c>
    </row>
    <row r="165" spans="1:22" ht="16.5" customHeight="1" x14ac:dyDescent="0.3">
      <c r="A165" s="25"/>
      <c r="B165" s="25"/>
      <c r="C165" s="24"/>
      <c r="D165" s="24"/>
      <c r="E165" s="24"/>
      <c r="F165" s="24"/>
      <c r="G165" s="24"/>
      <c r="H165" s="24"/>
    </row>
    <row r="166" spans="1:22" ht="16.5" customHeight="1" x14ac:dyDescent="0.3">
      <c r="A166" s="25"/>
      <c r="B166" s="25"/>
      <c r="C166" s="24"/>
      <c r="D166" s="24"/>
      <c r="E166" s="24"/>
      <c r="F166" s="24"/>
      <c r="G166" s="24"/>
      <c r="H166" s="24"/>
      <c r="Q166" s="1">
        <f>IF(Datensatz!BZ2=FALSE,1,0)</f>
        <v>1</v>
      </c>
      <c r="R166" s="1" t="str">
        <f>IF(Q166=1,"[Betreibungsregisterauszug]","")</f>
        <v>[Betreibungsregisterauszug]</v>
      </c>
      <c r="V166" s="162">
        <v>151</v>
      </c>
    </row>
    <row r="167" spans="1:22" ht="16.5" customHeight="1" x14ac:dyDescent="0.3">
      <c r="A167" s="25"/>
      <c r="B167" s="25"/>
      <c r="C167" s="24"/>
      <c r="D167" s="24"/>
      <c r="E167" s="24"/>
      <c r="F167" s="24"/>
      <c r="G167" s="24"/>
      <c r="H167" s="24"/>
    </row>
    <row r="168" spans="1:22" ht="16.5" customHeight="1" x14ac:dyDescent="0.3">
      <c r="A168" s="25"/>
      <c r="B168" s="25"/>
      <c r="C168" s="24"/>
      <c r="D168" s="24"/>
      <c r="E168" s="24"/>
      <c r="F168" s="24"/>
      <c r="G168" s="24"/>
      <c r="H168" s="24"/>
      <c r="Q168" s="1">
        <f>IF(AND(Datensatz!M2=TRUE,Datensatz!CB2=FALSE),1,0)</f>
        <v>0</v>
      </c>
      <c r="R168" s="1" t="str">
        <f>IF(Q168=1,"[Vertretungsvollmacht]","")</f>
        <v/>
      </c>
    </row>
    <row r="169" spans="1:22" ht="16.5" customHeight="1" x14ac:dyDescent="0.3">
      <c r="A169" s="25"/>
      <c r="B169" s="25"/>
      <c r="C169" s="24"/>
      <c r="D169" s="24"/>
      <c r="E169" s="24"/>
      <c r="F169" s="24"/>
      <c r="G169" s="24"/>
      <c r="H169" s="24"/>
      <c r="V169" s="162">
        <v>152</v>
      </c>
    </row>
    <row r="170" spans="1:22" ht="16.5" customHeight="1" x14ac:dyDescent="0.3">
      <c r="A170" s="25" t="s">
        <v>196</v>
      </c>
      <c r="B170" s="25"/>
      <c r="C170" s="24"/>
      <c r="D170" s="24"/>
      <c r="E170" s="24"/>
      <c r="F170" s="24"/>
      <c r="G170" s="24"/>
      <c r="H170" s="24"/>
      <c r="V170" s="162">
        <v>153</v>
      </c>
    </row>
    <row r="171" spans="1:22" ht="28.8" customHeight="1" x14ac:dyDescent="0.3">
      <c r="A171" s="25"/>
      <c r="B171" s="25"/>
      <c r="C171" s="24"/>
      <c r="D171" s="24"/>
      <c r="E171" s="24"/>
      <c r="F171" s="24"/>
      <c r="G171" s="24"/>
      <c r="H171" s="24"/>
      <c r="Q171" s="1">
        <f>IF(Datensatz!CC2=FALSE,1,0)</f>
        <v>1</v>
      </c>
      <c r="R171" s="1" t="str">
        <f>IF(Q171=1,"[Keine staatlichen Fördermittel bezogen]","")</f>
        <v>[Keine staatlichen Fördermittel bezogen]</v>
      </c>
      <c r="V171" s="162">
        <v>154</v>
      </c>
    </row>
    <row r="172" spans="1:22" ht="28.8" customHeight="1" x14ac:dyDescent="0.3">
      <c r="A172" s="25"/>
      <c r="B172" s="25"/>
      <c r="C172" s="24"/>
      <c r="D172" s="24"/>
      <c r="E172" s="24"/>
      <c r="F172" s="24"/>
      <c r="G172" s="24"/>
      <c r="H172" s="24"/>
      <c r="Q172" s="1">
        <f>IF(Datensatz!CD2=FALSE,1,0)</f>
        <v>1</v>
      </c>
      <c r="R172" s="1" t="str">
        <f>IF(Q172=1,"[Rückerstattungspflicht zur Kenntnis genommen]","")</f>
        <v>[Rückerstattungspflicht zur Kenntnis genommen]</v>
      </c>
      <c r="V172" s="162">
        <v>155</v>
      </c>
    </row>
    <row r="173" spans="1:22" ht="16.2" customHeight="1" x14ac:dyDescent="0.3">
      <c r="A173" s="25"/>
      <c r="B173" s="25"/>
      <c r="C173" s="24"/>
      <c r="D173" s="24"/>
      <c r="E173" s="24"/>
      <c r="F173" s="24"/>
      <c r="G173" s="24"/>
      <c r="H173" s="24"/>
      <c r="Q173" s="1">
        <f>IF(Datensatz!CE2=FALSE,1,0)</f>
        <v>1</v>
      </c>
      <c r="R173" s="1" t="str">
        <f>IF(Q173=1,"[Keine finanziellen Ausstände]","")</f>
        <v>[Keine finanziellen Ausstände]</v>
      </c>
      <c r="V173" s="162">
        <v>156</v>
      </c>
    </row>
    <row r="174" spans="1:22" ht="16.5" customHeight="1" x14ac:dyDescent="0.3">
      <c r="A174" s="25"/>
      <c r="B174" s="24"/>
      <c r="C174" s="24"/>
      <c r="D174" s="24"/>
      <c r="E174" s="24"/>
      <c r="F174" s="24"/>
      <c r="G174" s="24"/>
      <c r="H174" s="24"/>
      <c r="V174" s="162">
        <v>157</v>
      </c>
    </row>
    <row r="175" spans="1:22" ht="63" customHeight="1" x14ac:dyDescent="0.3">
      <c r="A175" s="236" t="s">
        <v>62</v>
      </c>
      <c r="B175" s="236"/>
      <c r="C175" s="236"/>
      <c r="D175" s="236"/>
      <c r="E175" s="236"/>
      <c r="F175" s="236"/>
      <c r="G175" s="236"/>
      <c r="H175" s="236"/>
      <c r="I175" s="1" t="s">
        <v>63</v>
      </c>
      <c r="V175" s="162">
        <v>158</v>
      </c>
    </row>
    <row r="176" spans="1:22" ht="56.25" customHeight="1" x14ac:dyDescent="0.3">
      <c r="A176" s="236" t="s">
        <v>332</v>
      </c>
      <c r="B176" s="237"/>
      <c r="C176" s="237"/>
      <c r="D176" s="237"/>
      <c r="E176" s="237"/>
      <c r="F176" s="237"/>
      <c r="G176" s="237"/>
      <c r="H176" s="237"/>
      <c r="I176" s="1" t="s">
        <v>64</v>
      </c>
      <c r="V176" s="162">
        <v>159</v>
      </c>
    </row>
    <row r="177" spans="1:22" ht="55.5" customHeight="1" x14ac:dyDescent="0.3">
      <c r="A177" s="236" t="s">
        <v>65</v>
      </c>
      <c r="B177" s="237"/>
      <c r="C177" s="237"/>
      <c r="D177" s="237"/>
      <c r="E177" s="237"/>
      <c r="F177" s="237"/>
      <c r="G177" s="237"/>
      <c r="H177" s="237"/>
      <c r="I177" s="1" t="s">
        <v>66</v>
      </c>
      <c r="V177" s="162">
        <v>160</v>
      </c>
    </row>
    <row r="178" spans="1:22" ht="46.5" customHeight="1" x14ac:dyDescent="0.3">
      <c r="A178" s="236" t="s">
        <v>347</v>
      </c>
      <c r="B178" s="236"/>
      <c r="C178" s="236"/>
      <c r="D178" s="236"/>
      <c r="E178" s="236"/>
      <c r="F178" s="236"/>
      <c r="G178" s="236"/>
      <c r="H178" s="236"/>
      <c r="V178" s="162">
        <v>161</v>
      </c>
    </row>
    <row r="179" spans="1:22" ht="13.8" x14ac:dyDescent="0.3">
      <c r="A179" s="86"/>
      <c r="B179" s="24"/>
      <c r="C179" s="24"/>
      <c r="D179" s="24"/>
      <c r="E179" s="24"/>
      <c r="F179" s="24"/>
      <c r="G179" s="24"/>
      <c r="H179" s="24"/>
      <c r="V179" s="162">
        <v>162</v>
      </c>
    </row>
    <row r="180" spans="1:22" ht="15.75" customHeight="1" thickBot="1" x14ac:dyDescent="0.35">
      <c r="A180" s="94" t="s">
        <v>286</v>
      </c>
      <c r="B180" s="24"/>
      <c r="C180" s="24"/>
      <c r="D180" s="24"/>
      <c r="E180" s="24"/>
      <c r="F180" s="24"/>
      <c r="G180" s="24"/>
      <c r="H180" s="24"/>
      <c r="V180" s="162">
        <v>163</v>
      </c>
    </row>
    <row r="181" spans="1:22" ht="14.4" thickBot="1" x14ac:dyDescent="0.35">
      <c r="A181" s="86"/>
      <c r="B181" s="24" t="s">
        <v>453</v>
      </c>
      <c r="C181" s="24"/>
      <c r="D181" s="151" t="str">
        <f>IF(AND(E181&lt;&gt;"",ISNONTEXT(E181)=TRUE),"Bitte nur Text eingeben! ","")</f>
        <v/>
      </c>
      <c r="E181" s="238"/>
      <c r="F181" s="239"/>
      <c r="G181" s="240"/>
      <c r="H181" s="24"/>
      <c r="Q181" s="1">
        <f>IF(E181="",1,0)</f>
        <v>1</v>
      </c>
      <c r="R181" s="1" t="str">
        <f>IF(Q181=1,"["&amp;B181&amp;"]","")</f>
        <v>[Name der Bank]</v>
      </c>
      <c r="V181" s="162">
        <v>164</v>
      </c>
    </row>
    <row r="182" spans="1:22" ht="14.4" thickBot="1" x14ac:dyDescent="0.35">
      <c r="A182" s="86"/>
      <c r="B182" s="24" t="s">
        <v>213</v>
      </c>
      <c r="C182" s="24"/>
      <c r="D182" s="151" t="str">
        <f>IF(AND(E182&lt;&gt;"",ISNONTEXT(E182)=TRUE),"Bitte nur Text eingeben! ","")</f>
        <v/>
      </c>
      <c r="E182" s="230"/>
      <c r="F182" s="231"/>
      <c r="G182" s="232"/>
      <c r="H182" s="24"/>
      <c r="Q182" s="1">
        <f>IF(E182="",1,0)</f>
        <v>1</v>
      </c>
      <c r="R182" s="1" t="str">
        <f>IF(Q182=1,"["&amp;B182&amp;"]","")</f>
        <v>[Ort der Bank]</v>
      </c>
      <c r="V182" s="162">
        <v>165</v>
      </c>
    </row>
    <row r="183" spans="1:22" ht="14.4" thickBot="1" x14ac:dyDescent="0.35">
      <c r="A183" s="86"/>
      <c r="B183" s="24" t="s">
        <v>214</v>
      </c>
      <c r="C183" s="24"/>
      <c r="D183" s="151" t="str">
        <f>IF(AND(E183&lt;&gt;"",ISNONTEXT(E183)=TRUE),"Bitte nur Text eingeben! ","")</f>
        <v/>
      </c>
      <c r="E183" s="233"/>
      <c r="F183" s="234"/>
      <c r="G183" s="235"/>
      <c r="H183" s="24"/>
      <c r="Q183" s="1">
        <f>IF(E183="",1,0)</f>
        <v>1</v>
      </c>
      <c r="R183" s="1" t="str">
        <f>IF(Q183=1,"["&amp;B183&amp;"]","")</f>
        <v>[IBAN]</v>
      </c>
      <c r="V183" s="162">
        <v>166</v>
      </c>
    </row>
    <row r="184" spans="1:22" ht="26.25" customHeight="1" thickBot="1" x14ac:dyDescent="0.35">
      <c r="A184" s="86"/>
      <c r="B184" s="91" t="s">
        <v>365</v>
      </c>
      <c r="C184" s="24"/>
      <c r="D184" s="151" t="str">
        <f>IF(AND(E184&lt;&gt;"",ISNONTEXT(E184)=TRUE),"Bitte nur Text eingeben! ","")</f>
        <v/>
      </c>
      <c r="E184" s="233"/>
      <c r="F184" s="234"/>
      <c r="G184" s="235"/>
      <c r="H184" s="24"/>
      <c r="Q184" s="1">
        <f>IF(E184="",1,0)</f>
        <v>1</v>
      </c>
      <c r="R184" s="1" t="str">
        <f>IF(Q184=1,"["&amp;B184&amp;"]","")</f>
        <v>[Konto lautend auf]</v>
      </c>
      <c r="V184" s="162">
        <v>167</v>
      </c>
    </row>
    <row r="185" spans="1:22" ht="20.25" customHeight="1" x14ac:dyDescent="0.3">
      <c r="A185" s="92" t="str">
        <f>IF(LEFT(E183,2)="CH","","Auszahlungen erfolgen ausschliesslich auf Schweizer Bankkonti.")</f>
        <v>Auszahlungen erfolgen ausschliesslich auf Schweizer Bankkonti.</v>
      </c>
      <c r="B185" s="24"/>
      <c r="C185" s="24"/>
      <c r="D185" s="24"/>
      <c r="E185" s="24"/>
      <c r="F185" s="24"/>
      <c r="G185" s="24"/>
      <c r="H185" s="24"/>
      <c r="V185" s="162">
        <v>168</v>
      </c>
    </row>
    <row r="186" spans="1:22" ht="16.5" hidden="1" customHeight="1" x14ac:dyDescent="0.3">
      <c r="V186" s="162">
        <v>169</v>
      </c>
    </row>
    <row r="187" spans="1:22" ht="16.5" hidden="1" customHeight="1" x14ac:dyDescent="0.3">
      <c r="C187" s="47"/>
      <c r="V187" s="187"/>
    </row>
    <row r="188" spans="1:22" ht="16.5" customHeight="1" x14ac:dyDescent="0.3">
      <c r="V188" s="162">
        <v>171</v>
      </c>
    </row>
    <row r="189" spans="1:22" ht="16.5" customHeight="1" x14ac:dyDescent="0.3">
      <c r="A189" s="155" t="str">
        <f>IF(A190="","Alle relevanten Felder sind ausgefüllt und die Kästchen angekreuzt. Ihr Formular ist komplett und kann eingereicht werden.","")</f>
        <v/>
      </c>
      <c r="V189" s="162">
        <v>172</v>
      </c>
    </row>
    <row r="190" spans="1:22" ht="16.5" customHeight="1" x14ac:dyDescent="0.3">
      <c r="A190" s="5" t="str">
        <f>IF(SUM(Q6:Q185)+SUM(S6:S185)=1,"Fehlermeldung:",IF(SUM(Q6:Q185)+SUM(S6:S185)&gt;1,"Fehlermeldungen:",""))</f>
        <v>Fehlermeldungen:</v>
      </c>
    </row>
    <row r="191" spans="1:22" ht="61.2" customHeight="1" x14ac:dyDescent="0.3">
      <c r="A191" s="255" t="str" cm="1">
        <f t="array" ref="A191">IF(SUM(Q6:Q185)=1,"Bitte ergänzen Sie folgendes leeres Feld: "&amp;_xlfn.TEXTJOIN(" ",TRUE,_xlfn._xlws.FILTER(R6:R185,R6:R185&lt;&gt;"")),IF(SUM(Q6:Q185)&gt;1,"Bitte ergänzen Sie folgende leeren Felder: "&amp;_xlfn.TEXTJOIN(" ",TRUE,_xlfn._xlws.FILTER(R6:R185,R6:R185&lt;&gt;"")),""))</f>
        <v>Bitte ergänzen Sie folgende leeren Felder: [Name des Unternehmens] [Im Kanton Zug steuerpflichtig in] [UID] [Personen-Nr.] [Name] [Vorname] [Funktion (Vertretung: Vollmacht beilegen)] [Strasse, Nr.] [PLZ] [Ort] [E-Mail (für Rückfragen und Entscheidkommunikation)] [Telefon-Nr.] [Umsatz in CHF] [Personalstellen in Vollzeitäquivalenten Ende 2025] [Gesamter Personalaufwand im Kanton Zug 2025] [Unternehmenszweck (kurz gefasst)] [Kreuzen Sie an, wofür Sie ein Fördergesuch einreichen.] [Branchen-Cluster] [Inventar beruht auf Standard (gem. § 3 Abs. 1 SEVO)] [Revisionsunternehmen gemäss § 4 Abs. 2 SEVO] [Bestätigung Treibhausgasinventar] [Bestätigung keine Offsets] [Bestätigung branchenübliche Messgrösse] [Bestätigung Beleg der Emissionsintensität] [Berechnungsübersicht] [Beleg mit Basisdaten] [Betreibungsregisterauszug] [Keine staatlichen Fördermittel bezogen] [Rückerstattungspflicht zur Kenntnis genommen] [Keine finanziellen Ausstände] [Name der Bank] [Ort der Bank] [IBAN] [Konto lautend auf]</v>
      </c>
      <c r="B191" s="255"/>
      <c r="C191" s="255"/>
      <c r="D191" s="255"/>
      <c r="E191" s="255"/>
      <c r="F191" s="255"/>
      <c r="G191" s="255"/>
      <c r="H191" s="255"/>
    </row>
  </sheetData>
  <sheetProtection algorithmName="SHA-512" hashValue="xSaSPRYdARNB/rb03kFjdZyatK+bc8RA/2QyFb1KoDZ2de7yJQWkP4EhaATnMwMqiZTeF5v4aKPb4nGKaRBlVA==" saltValue="kpl8r7ip3BDvEa+Myz+vaQ==" spinCount="100000" sheet="1" objects="1" scenarios="1"/>
  <mergeCells count="40">
    <mergeCell ref="A2:H2"/>
    <mergeCell ref="B95:G95"/>
    <mergeCell ref="B98:G98"/>
    <mergeCell ref="A191:H191"/>
    <mergeCell ref="B89:G89"/>
    <mergeCell ref="E14:G14"/>
    <mergeCell ref="E15:G15"/>
    <mergeCell ref="E17:G17"/>
    <mergeCell ref="E19:G19"/>
    <mergeCell ref="E20:G20"/>
    <mergeCell ref="B77:G77"/>
    <mergeCell ref="E16:G16"/>
    <mergeCell ref="E27:G27"/>
    <mergeCell ref="G91:H91"/>
    <mergeCell ref="B125:G125"/>
    <mergeCell ref="J80:K81"/>
    <mergeCell ref="E33:G33"/>
    <mergeCell ref="B41:G42"/>
    <mergeCell ref="B53:G53"/>
    <mergeCell ref="B59:G59"/>
    <mergeCell ref="B75:G75"/>
    <mergeCell ref="B78:G78"/>
    <mergeCell ref="B39:G39"/>
    <mergeCell ref="D81:E81"/>
    <mergeCell ref="A1:H1"/>
    <mergeCell ref="E6:G6"/>
    <mergeCell ref="E183:G183"/>
    <mergeCell ref="E184:G184"/>
    <mergeCell ref="A175:H175"/>
    <mergeCell ref="A176:H176"/>
    <mergeCell ref="A177:H177"/>
    <mergeCell ref="E181:G181"/>
    <mergeCell ref="E182:G182"/>
    <mergeCell ref="B158:G158"/>
    <mergeCell ref="B80:G80"/>
    <mergeCell ref="B56:G56"/>
    <mergeCell ref="B62:G62"/>
    <mergeCell ref="B71:G71"/>
    <mergeCell ref="B74:G74"/>
    <mergeCell ref="A178:H178"/>
  </mergeCells>
  <phoneticPr fontId="14" type="noConversion"/>
  <dataValidations xWindow="663" yWindow="434" count="9">
    <dataValidation type="whole" operator="greaterThan" allowBlank="1" showInputMessage="1" showErrorMessage="1" errorTitle="Fehlerhafte Eingabe" error="Bitte ausschliesslich einen ganzzahligen Wert ohne Text und Formatierungen eingeben." promptTitle="Eingabeformat" prompt="Bitte ausschliesslich einen ganzzahligen Wert ohne Text und Formatierungen eingeben." sqref="E107:E108 E115:E116" xr:uid="{C7C994E5-EB6D-4115-9977-B90B3D8F9F83}">
      <formula1>0</formula1>
    </dataValidation>
    <dataValidation type="whole" allowBlank="1" showInputMessage="1" showErrorMessage="1" errorTitle="Fehlerhafte Eingabe" error="Bitte ausschliesslich einen ganzzahligen Wert ohne Text und Formatierungen eingeben." promptTitle="Eingabeformat" prompt="Bitte ausschliesslich einen ganzzahligen Wert ohne Text und Formatierungen eingeben." sqref="E9" xr:uid="{E8A13550-2ED6-4BF7-9039-2E02D98178D2}">
      <formula1>1000000</formula1>
      <formula2>999999999</formula2>
    </dataValidation>
    <dataValidation type="whole" allowBlank="1" showInputMessage="1" showErrorMessage="1" errorTitle="Fehlerhafte Eingabe" error="Bitte ausschliesslich einen ganzzahligen vierstelligen Wert ohne Text und Formatierungen eingeben." promptTitle="Eingabeformat" prompt="Bitte ausschliesslich einen ganzzahligen vierstelligen Wert ohne Text und Formatierungen eingeben." sqref="E18" xr:uid="{8DD5549F-D8C4-49AA-8CC9-BFA796774998}">
      <formula1>2000</formula1>
      <formula2>9999</formula2>
    </dataValidation>
    <dataValidation type="whole" operator="greaterThanOrEqual" allowBlank="1" showInputMessage="1" showErrorMessage="1" errorTitle="Fehlerhafte Eingabe" error="Bitte ausschliesslich einen ganzzahligen Frankenbetrag ohne Text und Formatierungen eingeben." promptTitle="Eingabeformat" prompt="Bitte ausschliesslich einen ganzzahligen Frankenbetrag ohne Text und Formatierungen eingeben." sqref="B81 E84:E85 E24 E26" xr:uid="{8FA37A15-010B-48E9-A8D3-DED32BB11B53}">
      <formula1>0</formula1>
    </dataValidation>
    <dataValidation type="whole" allowBlank="1" showInputMessage="1" showErrorMessage="1" errorTitle="Fehlerhafte Eingabe" error="Bitte ausschliesslich einen ganzzahligen vierstelligen Wert ohne Text und Formatierungen eingeben." promptTitle="Eingabeformat" prompt="Bitte ausschliesslich einen ganzzahligen vierstelligen Wert ohne Text und Formatierungen eingeben." sqref="E101:E102" xr:uid="{F6BED968-DF5D-4804-B14A-D5338487CB80}">
      <formula1>0</formula1>
      <formula2>9999</formula2>
    </dataValidation>
    <dataValidation type="textLength" allowBlank="1" showInputMessage="1" showErrorMessage="1" errorTitle="Fehlerhafte Eingabe" error="Bitte eine aussagekräftige Beschreibung erfassen, jedoch nicht länger als 500 Zeichen (inkl. Leerzeichen)." promptTitle="Aussagekräftige Beschreibung" prompt="Bitte eine aussagekräftige Beschreibung erfassen, jedoch nicht länger als 500 Zeichen (inkl. Leerzeichen)." sqref="B39:G39 B75:G75 B78:G78 B95:G95 B98:G98 B125:G125" xr:uid="{1EB2024D-395B-46A1-A710-0483E84FD179}">
      <formula1>20</formula1>
      <formula2>500</formula2>
    </dataValidation>
    <dataValidation type="decimal" operator="greaterThanOrEqual" allowBlank="1" showInputMessage="1" showErrorMessage="1" errorTitle="Fehlerhafte Eingabe" error="Bitte ausschliesslich einen Wert ohne Text und Formatierungen eingeben." promptTitle="Eingabeformat" prompt="Bitte ausschliesslich einen Wert ohne Text und Formatierungen eingeben." sqref="E25" xr:uid="{FDF9E289-ED31-4F94-A967-4F5C6CADB129}">
      <formula1>0</formula1>
    </dataValidation>
    <dataValidation type="whole" allowBlank="1" showInputMessage="1" showErrorMessage="1" errorTitle="Fehlerhafte Eingabe" error="Bitte ausschliesslich einen achtstelligen ganzzahligen Wert ohne Text und Formatierungen eingeben." promptTitle="Eingabeformat" prompt="Bitte ausschliesslich einen achtstelligen ganzzahligen Wert ohne Text und Formatierungen eingeben." sqref="E10" xr:uid="{008072F4-E570-4FE8-8E28-8D1672435488}">
      <formula1>1000000</formula1>
      <formula2>99999999</formula2>
    </dataValidation>
    <dataValidation allowBlank="1" showInputMessage="1" showErrorMessage="1" promptTitle="Kurzbeschreibung" prompt="Nur Tätigkeiten nennen im Zusammenhang mit immateriellen Gütern und vergleichbaren Rechten (wenn Kästchen [Immat. Güter] in Zeile 36 aktiviert). Text mit max. 50 Zeichen. Ausführlichere Beschreibung im Feld in Zeile 39." sqref="E33:G33" xr:uid="{3753F0DF-FCDA-43D3-8C3B-647D4FE3F5DF}"/>
  </dataValidations>
  <hyperlinks>
    <hyperlink ref="E4" r:id="rId1" xr:uid="{D774BDCC-BA35-46D8-B33F-A13AE59C2F77}"/>
    <hyperlink ref="G91" r:id="rId2" xr:uid="{3A611171-9C33-493F-B328-1EBDAFF33C05}"/>
    <hyperlink ref="D81:E81" r:id="rId3" display="Steuergesetzes" xr:uid="{7CCF083B-6CCE-4BC1-A030-A1DA98604EDC}"/>
  </hyperlinks>
  <pageMargins left="0.39370078740157483" right="0.39370078740157483" top="0.39370078740157483" bottom="0.39370078740157483" header="0.51181102362204722" footer="0.51181102362204722"/>
  <pageSetup paperSize="9" fitToHeight="0" orientation="portrait" r:id="rId4"/>
  <headerFooter>
    <oddFooter>&amp;A&amp;RSeite &amp;P</oddFooter>
  </headerFooter>
  <rowBreaks count="3" manualBreakCount="3">
    <brk id="31" max="16383" man="1"/>
    <brk id="87" max="16383" man="1"/>
    <brk id="136" max="16383" man="1"/>
  </rowBreaks>
  <drawing r:id="rId5"/>
  <legacyDrawing r:id="rId6"/>
  <mc:AlternateContent xmlns:mc="http://schemas.openxmlformats.org/markup-compatibility/2006">
    <mc:Choice Requires="x14">
      <controls>
        <mc:AlternateContent xmlns:mc="http://schemas.openxmlformats.org/markup-compatibility/2006">
          <mc:Choice Requires="x14">
            <control shapeId="5166" r:id="rId7" name="Option Button 46">
              <controlPr defaultSize="0" autoFill="0" autoLine="0" autoPict="0">
                <anchor moveWithCells="1">
                  <from>
                    <xdr:col>0</xdr:col>
                    <xdr:colOff>274320</xdr:colOff>
                    <xdr:row>132</xdr:row>
                    <xdr:rowOff>198120</xdr:rowOff>
                  </from>
                  <to>
                    <xdr:col>4</xdr:col>
                    <xdr:colOff>1021080</xdr:colOff>
                    <xdr:row>134</xdr:row>
                    <xdr:rowOff>0</xdr:rowOff>
                  </to>
                </anchor>
              </controlPr>
            </control>
          </mc:Choice>
        </mc:AlternateContent>
        <mc:AlternateContent xmlns:mc="http://schemas.openxmlformats.org/markup-compatibility/2006">
          <mc:Choice Requires="x14">
            <control shapeId="5165" r:id="rId8" name="Option Button 45">
              <controlPr defaultSize="0" autoFill="0" autoLine="0" autoPict="0">
                <anchor moveWithCells="1">
                  <from>
                    <xdr:col>0</xdr:col>
                    <xdr:colOff>274320</xdr:colOff>
                    <xdr:row>131</xdr:row>
                    <xdr:rowOff>190500</xdr:rowOff>
                  </from>
                  <to>
                    <xdr:col>4</xdr:col>
                    <xdr:colOff>746760</xdr:colOff>
                    <xdr:row>132</xdr:row>
                    <xdr:rowOff>198120</xdr:rowOff>
                  </to>
                </anchor>
              </controlPr>
            </control>
          </mc:Choice>
        </mc:AlternateContent>
        <mc:AlternateContent xmlns:mc="http://schemas.openxmlformats.org/markup-compatibility/2006">
          <mc:Choice Requires="x14">
            <control shapeId="5159" r:id="rId9" name="Check Box 39">
              <controlPr locked="0" defaultSize="0" autoFill="0" autoLine="0" autoPict="0">
                <anchor moveWithCells="1">
                  <from>
                    <xdr:col>0</xdr:col>
                    <xdr:colOff>274320</xdr:colOff>
                    <xdr:row>130</xdr:row>
                    <xdr:rowOff>144780</xdr:rowOff>
                  </from>
                  <to>
                    <xdr:col>4</xdr:col>
                    <xdr:colOff>731520</xdr:colOff>
                    <xdr:row>132</xdr:row>
                    <xdr:rowOff>60960</xdr:rowOff>
                  </to>
                </anchor>
              </controlPr>
            </control>
          </mc:Choice>
        </mc:AlternateContent>
        <mc:AlternateContent xmlns:mc="http://schemas.openxmlformats.org/markup-compatibility/2006">
          <mc:Choice Requires="x14">
            <control shapeId="5154" r:id="rId10" name="Check Box 34">
              <controlPr locked="0" defaultSize="0" autoFill="0" autoLine="0" autoPict="0">
                <anchor moveWithCells="1">
                  <from>
                    <xdr:col>0</xdr:col>
                    <xdr:colOff>274320</xdr:colOff>
                    <xdr:row>129</xdr:row>
                    <xdr:rowOff>144780</xdr:rowOff>
                  </from>
                  <to>
                    <xdr:col>4</xdr:col>
                    <xdr:colOff>830580</xdr:colOff>
                    <xdr:row>131</xdr:row>
                    <xdr:rowOff>60960</xdr:rowOff>
                  </to>
                </anchor>
              </controlPr>
            </control>
          </mc:Choice>
        </mc:AlternateContent>
        <mc:AlternateContent xmlns:mc="http://schemas.openxmlformats.org/markup-compatibility/2006">
          <mc:Choice Requires="x14">
            <control shapeId="5151" r:id="rId11" name="Check Box 31">
              <controlPr locked="0" defaultSize="0" autoFill="0" autoLine="0" autoPict="0">
                <anchor moveWithCells="1">
                  <from>
                    <xdr:col>0</xdr:col>
                    <xdr:colOff>274320</xdr:colOff>
                    <xdr:row>127</xdr:row>
                    <xdr:rowOff>144780</xdr:rowOff>
                  </from>
                  <to>
                    <xdr:col>4</xdr:col>
                    <xdr:colOff>579120</xdr:colOff>
                    <xdr:row>129</xdr:row>
                    <xdr:rowOff>60960</xdr:rowOff>
                  </to>
                </anchor>
              </controlPr>
            </control>
          </mc:Choice>
        </mc:AlternateContent>
        <mc:AlternateContent xmlns:mc="http://schemas.openxmlformats.org/markup-compatibility/2006">
          <mc:Choice Requires="x14">
            <control shapeId="5158" r:id="rId12" name="Check Box 38">
              <controlPr locked="0" defaultSize="0" autoFill="0" autoLine="0" autoPict="0">
                <anchor moveWithCells="1">
                  <from>
                    <xdr:col>0</xdr:col>
                    <xdr:colOff>274320</xdr:colOff>
                    <xdr:row>128</xdr:row>
                    <xdr:rowOff>144780</xdr:rowOff>
                  </from>
                  <to>
                    <xdr:col>6</xdr:col>
                    <xdr:colOff>533400</xdr:colOff>
                    <xdr:row>130</xdr:row>
                    <xdr:rowOff>60960</xdr:rowOff>
                  </to>
                </anchor>
              </controlPr>
            </control>
          </mc:Choice>
        </mc:AlternateContent>
        <mc:AlternateContent xmlns:mc="http://schemas.openxmlformats.org/markup-compatibility/2006">
          <mc:Choice Requires="x14">
            <control shapeId="5121" r:id="rId13" name="Drop Down 1">
              <controlPr defaultSize="0" autoLine="0" autoPict="0">
                <anchor moveWithCells="1">
                  <from>
                    <xdr:col>2</xdr:col>
                    <xdr:colOff>1394460</xdr:colOff>
                    <xdr:row>89</xdr:row>
                    <xdr:rowOff>152400</xdr:rowOff>
                  </from>
                  <to>
                    <xdr:col>5</xdr:col>
                    <xdr:colOff>60960</xdr:colOff>
                    <xdr:row>91</xdr:row>
                    <xdr:rowOff>7620</xdr:rowOff>
                  </to>
                </anchor>
              </controlPr>
            </control>
          </mc:Choice>
        </mc:AlternateContent>
        <mc:AlternateContent xmlns:mc="http://schemas.openxmlformats.org/markup-compatibility/2006">
          <mc:Choice Requires="x14">
            <control shapeId="5122" r:id="rId14" name="Drop Down 2">
              <controlPr defaultSize="0" autoLine="0" autoPict="0">
                <anchor moveWithCells="1">
                  <from>
                    <xdr:col>4</xdr:col>
                    <xdr:colOff>0</xdr:colOff>
                    <xdr:row>102</xdr:row>
                    <xdr:rowOff>22860</xdr:rowOff>
                  </from>
                  <to>
                    <xdr:col>5</xdr:col>
                    <xdr:colOff>22860</xdr:colOff>
                    <xdr:row>102</xdr:row>
                    <xdr:rowOff>198120</xdr:rowOff>
                  </to>
                </anchor>
              </controlPr>
            </control>
          </mc:Choice>
        </mc:AlternateContent>
        <mc:AlternateContent xmlns:mc="http://schemas.openxmlformats.org/markup-compatibility/2006">
          <mc:Choice Requires="x14">
            <control shapeId="5123" r:id="rId15" name="Drop Down 3">
              <controlPr defaultSize="0" autoLine="0" autoPict="0">
                <anchor moveWithCells="1">
                  <from>
                    <xdr:col>4</xdr:col>
                    <xdr:colOff>0</xdr:colOff>
                    <xdr:row>103</xdr:row>
                    <xdr:rowOff>22860</xdr:rowOff>
                  </from>
                  <to>
                    <xdr:col>7</xdr:col>
                    <xdr:colOff>175260</xdr:colOff>
                    <xdr:row>104</xdr:row>
                    <xdr:rowOff>0</xdr:rowOff>
                  </to>
                </anchor>
              </controlPr>
            </control>
          </mc:Choice>
        </mc:AlternateContent>
        <mc:AlternateContent xmlns:mc="http://schemas.openxmlformats.org/markup-compatibility/2006">
          <mc:Choice Requires="x14">
            <control shapeId="5134" r:id="rId16" name="Check Box 14">
              <controlPr locked="0" defaultSize="0" autoFill="0" autoLine="0" autoPict="0">
                <anchor moveWithCells="1">
                  <from>
                    <xdr:col>2</xdr:col>
                    <xdr:colOff>114300</xdr:colOff>
                    <xdr:row>34</xdr:row>
                    <xdr:rowOff>152400</xdr:rowOff>
                  </from>
                  <to>
                    <xdr:col>2</xdr:col>
                    <xdr:colOff>1363980</xdr:colOff>
                    <xdr:row>36</xdr:row>
                    <xdr:rowOff>60960</xdr:rowOff>
                  </to>
                </anchor>
              </controlPr>
            </control>
          </mc:Choice>
        </mc:AlternateContent>
        <mc:AlternateContent xmlns:mc="http://schemas.openxmlformats.org/markup-compatibility/2006">
          <mc:Choice Requires="x14">
            <control shapeId="5135" r:id="rId17" name="Check Box 15">
              <controlPr locked="0" defaultSize="0" autoFill="0" autoLine="0" autoPict="0">
                <anchor moveWithCells="1">
                  <from>
                    <xdr:col>0</xdr:col>
                    <xdr:colOff>274320</xdr:colOff>
                    <xdr:row>34</xdr:row>
                    <xdr:rowOff>152400</xdr:rowOff>
                  </from>
                  <to>
                    <xdr:col>2</xdr:col>
                    <xdr:colOff>83820</xdr:colOff>
                    <xdr:row>36</xdr:row>
                    <xdr:rowOff>60960</xdr:rowOff>
                  </to>
                </anchor>
              </controlPr>
            </control>
          </mc:Choice>
        </mc:AlternateContent>
        <mc:AlternateContent xmlns:mc="http://schemas.openxmlformats.org/markup-compatibility/2006">
          <mc:Choice Requires="x14">
            <control shapeId="5136" r:id="rId18" name="Check Box 16">
              <controlPr locked="0" defaultSize="0" autoFill="0" autoLine="0" autoPict="0">
                <anchor moveWithCells="1">
                  <from>
                    <xdr:col>3</xdr:col>
                    <xdr:colOff>121920</xdr:colOff>
                    <xdr:row>48</xdr:row>
                    <xdr:rowOff>152400</xdr:rowOff>
                  </from>
                  <to>
                    <xdr:col>5</xdr:col>
                    <xdr:colOff>106680</xdr:colOff>
                    <xdr:row>50</xdr:row>
                    <xdr:rowOff>60960</xdr:rowOff>
                  </to>
                </anchor>
              </controlPr>
            </control>
          </mc:Choice>
        </mc:AlternateContent>
        <mc:AlternateContent xmlns:mc="http://schemas.openxmlformats.org/markup-compatibility/2006">
          <mc:Choice Requires="x14">
            <control shapeId="5137" r:id="rId19" name="Check Box 17">
              <controlPr locked="0" defaultSize="0" autoFill="0" autoLine="0" autoPict="0">
                <anchor moveWithCells="1">
                  <from>
                    <xdr:col>2</xdr:col>
                    <xdr:colOff>1379220</xdr:colOff>
                    <xdr:row>34</xdr:row>
                    <xdr:rowOff>152400</xdr:rowOff>
                  </from>
                  <to>
                    <xdr:col>4</xdr:col>
                    <xdr:colOff>967740</xdr:colOff>
                    <xdr:row>36</xdr:row>
                    <xdr:rowOff>60960</xdr:rowOff>
                  </to>
                </anchor>
              </controlPr>
            </control>
          </mc:Choice>
        </mc:AlternateContent>
        <mc:AlternateContent xmlns:mc="http://schemas.openxmlformats.org/markup-compatibility/2006">
          <mc:Choice Requires="x14">
            <control shapeId="5139" r:id="rId20" name="Check Box 19">
              <controlPr locked="0" defaultSize="0" autoFill="0" autoLine="0" autoPict="0">
                <anchor moveWithCells="1">
                  <from>
                    <xdr:col>3</xdr:col>
                    <xdr:colOff>121920</xdr:colOff>
                    <xdr:row>47</xdr:row>
                    <xdr:rowOff>152400</xdr:rowOff>
                  </from>
                  <to>
                    <xdr:col>5</xdr:col>
                    <xdr:colOff>106680</xdr:colOff>
                    <xdr:row>49</xdr:row>
                    <xdr:rowOff>60960</xdr:rowOff>
                  </to>
                </anchor>
              </controlPr>
            </control>
          </mc:Choice>
        </mc:AlternateContent>
        <mc:AlternateContent xmlns:mc="http://schemas.openxmlformats.org/markup-compatibility/2006">
          <mc:Choice Requires="x14">
            <control shapeId="5143" r:id="rId21" name="Check Box 23">
              <controlPr locked="0" defaultSize="0" autoFill="0" autoLine="0" autoPict="0">
                <anchor moveWithCells="1">
                  <from>
                    <xdr:col>3</xdr:col>
                    <xdr:colOff>121920</xdr:colOff>
                    <xdr:row>46</xdr:row>
                    <xdr:rowOff>152400</xdr:rowOff>
                  </from>
                  <to>
                    <xdr:col>5</xdr:col>
                    <xdr:colOff>106680</xdr:colOff>
                    <xdr:row>48</xdr:row>
                    <xdr:rowOff>60960</xdr:rowOff>
                  </to>
                </anchor>
              </controlPr>
            </control>
          </mc:Choice>
        </mc:AlternateContent>
        <mc:AlternateContent xmlns:mc="http://schemas.openxmlformats.org/markup-compatibility/2006">
          <mc:Choice Requires="x14">
            <control shapeId="5144" r:id="rId22" name="Check Box 24">
              <controlPr locked="0" defaultSize="0" autoFill="0" autoLine="0" autoPict="0">
                <anchor moveWithCells="1">
                  <from>
                    <xdr:col>3</xdr:col>
                    <xdr:colOff>114300</xdr:colOff>
                    <xdr:row>45</xdr:row>
                    <xdr:rowOff>152400</xdr:rowOff>
                  </from>
                  <to>
                    <xdr:col>5</xdr:col>
                    <xdr:colOff>114300</xdr:colOff>
                    <xdr:row>47</xdr:row>
                    <xdr:rowOff>60960</xdr:rowOff>
                  </to>
                </anchor>
              </controlPr>
            </control>
          </mc:Choice>
        </mc:AlternateContent>
        <mc:AlternateContent xmlns:mc="http://schemas.openxmlformats.org/markup-compatibility/2006">
          <mc:Choice Requires="x14">
            <control shapeId="5145" r:id="rId23" name="Check Box 25">
              <controlPr locked="0" defaultSize="0" autoFill="0" autoLine="0" autoPict="0">
                <anchor moveWithCells="1">
                  <from>
                    <xdr:col>3</xdr:col>
                    <xdr:colOff>114300</xdr:colOff>
                    <xdr:row>49</xdr:row>
                    <xdr:rowOff>152400</xdr:rowOff>
                  </from>
                  <to>
                    <xdr:col>6</xdr:col>
                    <xdr:colOff>525780</xdr:colOff>
                    <xdr:row>51</xdr:row>
                    <xdr:rowOff>60960</xdr:rowOff>
                  </to>
                </anchor>
              </controlPr>
            </control>
          </mc:Choice>
        </mc:AlternateContent>
        <mc:AlternateContent xmlns:mc="http://schemas.openxmlformats.org/markup-compatibility/2006">
          <mc:Choice Requires="x14">
            <control shapeId="5133" r:id="rId24" name="Check Box 13">
              <controlPr locked="0" defaultSize="0" autoFill="0" autoLine="0" autoPict="0">
                <anchor moveWithCells="1">
                  <from>
                    <xdr:col>0</xdr:col>
                    <xdr:colOff>274320</xdr:colOff>
                    <xdr:row>45</xdr:row>
                    <xdr:rowOff>160020</xdr:rowOff>
                  </from>
                  <to>
                    <xdr:col>2</xdr:col>
                    <xdr:colOff>388620</xdr:colOff>
                    <xdr:row>47</xdr:row>
                    <xdr:rowOff>68580</xdr:rowOff>
                  </to>
                </anchor>
              </controlPr>
            </control>
          </mc:Choice>
        </mc:AlternateContent>
        <mc:AlternateContent xmlns:mc="http://schemas.openxmlformats.org/markup-compatibility/2006">
          <mc:Choice Requires="x14">
            <control shapeId="5138" r:id="rId25" name="Check Box 18">
              <controlPr locked="0" defaultSize="0" autoFill="0" autoLine="0" autoPict="0">
                <anchor moveWithCells="1">
                  <from>
                    <xdr:col>0</xdr:col>
                    <xdr:colOff>274320</xdr:colOff>
                    <xdr:row>48</xdr:row>
                    <xdr:rowOff>160020</xdr:rowOff>
                  </from>
                  <to>
                    <xdr:col>2</xdr:col>
                    <xdr:colOff>388620</xdr:colOff>
                    <xdr:row>50</xdr:row>
                    <xdr:rowOff>68580</xdr:rowOff>
                  </to>
                </anchor>
              </controlPr>
            </control>
          </mc:Choice>
        </mc:AlternateContent>
        <mc:AlternateContent xmlns:mc="http://schemas.openxmlformats.org/markup-compatibility/2006">
          <mc:Choice Requires="x14">
            <control shapeId="5140" r:id="rId26" name="Check Box 20">
              <controlPr locked="0" defaultSize="0" autoFill="0" autoLine="0" autoPict="0">
                <anchor moveWithCells="1">
                  <from>
                    <xdr:col>0</xdr:col>
                    <xdr:colOff>274320</xdr:colOff>
                    <xdr:row>47</xdr:row>
                    <xdr:rowOff>160020</xdr:rowOff>
                  </from>
                  <to>
                    <xdr:col>2</xdr:col>
                    <xdr:colOff>388620</xdr:colOff>
                    <xdr:row>49</xdr:row>
                    <xdr:rowOff>68580</xdr:rowOff>
                  </to>
                </anchor>
              </controlPr>
            </control>
          </mc:Choice>
        </mc:AlternateContent>
        <mc:AlternateContent xmlns:mc="http://schemas.openxmlformats.org/markup-compatibility/2006">
          <mc:Choice Requires="x14">
            <control shapeId="5141" r:id="rId27" name="Check Box 21">
              <controlPr locked="0" defaultSize="0" autoFill="0" autoLine="0" autoPict="0">
                <anchor moveWithCells="1">
                  <from>
                    <xdr:col>0</xdr:col>
                    <xdr:colOff>274320</xdr:colOff>
                    <xdr:row>46</xdr:row>
                    <xdr:rowOff>160020</xdr:rowOff>
                  </from>
                  <to>
                    <xdr:col>2</xdr:col>
                    <xdr:colOff>388620</xdr:colOff>
                    <xdr:row>48</xdr:row>
                    <xdr:rowOff>68580</xdr:rowOff>
                  </to>
                </anchor>
              </controlPr>
            </control>
          </mc:Choice>
        </mc:AlternateContent>
        <mc:AlternateContent xmlns:mc="http://schemas.openxmlformats.org/markup-compatibility/2006">
          <mc:Choice Requires="x14">
            <control shapeId="5142" r:id="rId28" name="Check Box 22">
              <controlPr locked="0" defaultSize="0" autoFill="0" autoLine="0" autoPict="0">
                <anchor moveWithCells="1">
                  <from>
                    <xdr:col>0</xdr:col>
                    <xdr:colOff>274320</xdr:colOff>
                    <xdr:row>49</xdr:row>
                    <xdr:rowOff>160020</xdr:rowOff>
                  </from>
                  <to>
                    <xdr:col>2</xdr:col>
                    <xdr:colOff>388620</xdr:colOff>
                    <xdr:row>51</xdr:row>
                    <xdr:rowOff>68580</xdr:rowOff>
                  </to>
                </anchor>
              </controlPr>
            </control>
          </mc:Choice>
        </mc:AlternateContent>
        <mc:AlternateContent xmlns:mc="http://schemas.openxmlformats.org/markup-compatibility/2006">
          <mc:Choice Requires="x14">
            <control shapeId="5171" r:id="rId29" name="Check Box 51">
              <controlPr locked="0" defaultSize="0" autoFill="0" autoLine="0" autoPict="0">
                <anchor moveWithCells="1">
                  <from>
                    <xdr:col>0</xdr:col>
                    <xdr:colOff>274320</xdr:colOff>
                    <xdr:row>162</xdr:row>
                    <xdr:rowOff>152400</xdr:rowOff>
                  </from>
                  <to>
                    <xdr:col>6</xdr:col>
                    <xdr:colOff>114300</xdr:colOff>
                    <xdr:row>164</xdr:row>
                    <xdr:rowOff>68580</xdr:rowOff>
                  </to>
                </anchor>
              </controlPr>
            </control>
          </mc:Choice>
        </mc:AlternateContent>
        <mc:AlternateContent xmlns:mc="http://schemas.openxmlformats.org/markup-compatibility/2006">
          <mc:Choice Requires="x14">
            <control shapeId="5172" r:id="rId30" name="Check Box 52">
              <controlPr locked="0" defaultSize="0" autoFill="0" autoLine="0" autoPict="0">
                <anchor moveWithCells="1">
                  <from>
                    <xdr:col>0</xdr:col>
                    <xdr:colOff>274320</xdr:colOff>
                    <xdr:row>160</xdr:row>
                    <xdr:rowOff>152400</xdr:rowOff>
                  </from>
                  <to>
                    <xdr:col>4</xdr:col>
                    <xdr:colOff>152400</xdr:colOff>
                    <xdr:row>162</xdr:row>
                    <xdr:rowOff>68580</xdr:rowOff>
                  </to>
                </anchor>
              </controlPr>
            </control>
          </mc:Choice>
        </mc:AlternateContent>
        <mc:AlternateContent xmlns:mc="http://schemas.openxmlformats.org/markup-compatibility/2006">
          <mc:Choice Requires="x14">
            <control shapeId="5173" r:id="rId31" name="Check Box 53">
              <controlPr locked="0" defaultSize="0" autoFill="0" autoLine="0" autoPict="0">
                <anchor moveWithCells="1">
                  <from>
                    <xdr:col>0</xdr:col>
                    <xdr:colOff>274320</xdr:colOff>
                    <xdr:row>162</xdr:row>
                    <xdr:rowOff>15240</xdr:rowOff>
                  </from>
                  <to>
                    <xdr:col>6</xdr:col>
                    <xdr:colOff>518160</xdr:colOff>
                    <xdr:row>162</xdr:row>
                    <xdr:rowOff>198120</xdr:rowOff>
                  </to>
                </anchor>
              </controlPr>
            </control>
          </mc:Choice>
        </mc:AlternateContent>
        <mc:AlternateContent xmlns:mc="http://schemas.openxmlformats.org/markup-compatibility/2006">
          <mc:Choice Requires="x14">
            <control shapeId="5174" r:id="rId32" name="Drop Down 54">
              <controlPr defaultSize="0" autoLine="0" autoPict="0">
                <anchor moveWithCells="1">
                  <from>
                    <xdr:col>4</xdr:col>
                    <xdr:colOff>0</xdr:colOff>
                    <xdr:row>6</xdr:row>
                    <xdr:rowOff>0</xdr:rowOff>
                  </from>
                  <to>
                    <xdr:col>5</xdr:col>
                    <xdr:colOff>22860</xdr:colOff>
                    <xdr:row>6</xdr:row>
                    <xdr:rowOff>198120</xdr:rowOff>
                  </to>
                </anchor>
              </controlPr>
            </control>
          </mc:Choice>
        </mc:AlternateContent>
        <mc:AlternateContent xmlns:mc="http://schemas.openxmlformats.org/markup-compatibility/2006">
          <mc:Choice Requires="x14">
            <control shapeId="5175" r:id="rId33" name="Drop Down 55">
              <controlPr defaultSize="0" autoLine="0" autoPict="0">
                <anchor moveWithCells="1">
                  <from>
                    <xdr:col>4</xdr:col>
                    <xdr:colOff>0</xdr:colOff>
                    <xdr:row>12</xdr:row>
                    <xdr:rowOff>0</xdr:rowOff>
                  </from>
                  <to>
                    <xdr:col>5</xdr:col>
                    <xdr:colOff>22860</xdr:colOff>
                    <xdr:row>12</xdr:row>
                    <xdr:rowOff>198120</xdr:rowOff>
                  </to>
                </anchor>
              </controlPr>
            </control>
          </mc:Choice>
        </mc:AlternateContent>
        <mc:AlternateContent xmlns:mc="http://schemas.openxmlformats.org/markup-compatibility/2006">
          <mc:Choice Requires="x14">
            <control shapeId="5178" r:id="rId34" name="Check Box 58">
              <controlPr locked="0" defaultSize="0" autoFill="0" autoLine="0" autoPict="0" altText="Für die beantragten Tätigkeiten wurden weder bisher noch aktuell staatliche Fördermittel im In- oder Ausland bezogen. Es ist auch kein entsprechender Antrag anderweitig pendent.">
                <anchor moveWithCells="1">
                  <from>
                    <xdr:col>0</xdr:col>
                    <xdr:colOff>274320</xdr:colOff>
                    <xdr:row>170</xdr:row>
                    <xdr:rowOff>0</xdr:rowOff>
                  </from>
                  <to>
                    <xdr:col>7</xdr:col>
                    <xdr:colOff>335280</xdr:colOff>
                    <xdr:row>170</xdr:row>
                    <xdr:rowOff>327660</xdr:rowOff>
                  </to>
                </anchor>
              </controlPr>
            </control>
          </mc:Choice>
        </mc:AlternateContent>
        <mc:AlternateContent xmlns:mc="http://schemas.openxmlformats.org/markup-compatibility/2006">
          <mc:Choice Requires="x14">
            <control shapeId="5179" r:id="rId35" name="Check Box 59">
              <controlPr locked="0" defaultSize="0" autoFill="0" autoLine="0" autoPict="0">
                <anchor moveWithCells="1">
                  <from>
                    <xdr:col>0</xdr:col>
                    <xdr:colOff>274320</xdr:colOff>
                    <xdr:row>170</xdr:row>
                    <xdr:rowOff>342900</xdr:rowOff>
                  </from>
                  <to>
                    <xdr:col>7</xdr:col>
                    <xdr:colOff>198120</xdr:colOff>
                    <xdr:row>171</xdr:row>
                    <xdr:rowOff>304800</xdr:rowOff>
                  </to>
                </anchor>
              </controlPr>
            </control>
          </mc:Choice>
        </mc:AlternateContent>
        <mc:AlternateContent xmlns:mc="http://schemas.openxmlformats.org/markup-compatibility/2006">
          <mc:Choice Requires="x14">
            <control shapeId="5181" r:id="rId36" name="Check Box 61">
              <controlPr locked="0" defaultSize="0" autoFill="0" autoLine="0" autoPict="0">
                <anchor moveWithCells="1">
                  <from>
                    <xdr:col>0</xdr:col>
                    <xdr:colOff>274320</xdr:colOff>
                    <xdr:row>165</xdr:row>
                    <xdr:rowOff>0</xdr:rowOff>
                  </from>
                  <to>
                    <xdr:col>6</xdr:col>
                    <xdr:colOff>922020</xdr:colOff>
                    <xdr:row>166</xdr:row>
                    <xdr:rowOff>0</xdr:rowOff>
                  </to>
                </anchor>
              </controlPr>
            </control>
          </mc:Choice>
        </mc:AlternateContent>
        <mc:AlternateContent xmlns:mc="http://schemas.openxmlformats.org/markup-compatibility/2006">
          <mc:Choice Requires="x14">
            <control shapeId="5182" r:id="rId37" name="Check Box 62">
              <controlPr locked="0" defaultSize="0" autoFill="0" autoLine="0" autoPict="0" altText="Ich bestätige, dass keine überfälligen finanziellen Ausstände bei schweizerischen Behörden vorhanden sind.">
                <anchor moveWithCells="1">
                  <from>
                    <xdr:col>0</xdr:col>
                    <xdr:colOff>274320</xdr:colOff>
                    <xdr:row>171</xdr:row>
                    <xdr:rowOff>312420</xdr:rowOff>
                  </from>
                  <to>
                    <xdr:col>7</xdr:col>
                    <xdr:colOff>152400</xdr:colOff>
                    <xdr:row>173</xdr:row>
                    <xdr:rowOff>68580</xdr:rowOff>
                  </to>
                </anchor>
              </controlPr>
            </control>
          </mc:Choice>
        </mc:AlternateContent>
        <mc:AlternateContent xmlns:mc="http://schemas.openxmlformats.org/markup-compatibility/2006">
          <mc:Choice Requires="x14">
            <control shapeId="5188" r:id="rId38" name="Check Box 68">
              <controlPr defaultSize="0" autoFill="0" autoLine="0" autoPict="0">
                <anchor moveWithCells="1">
                  <from>
                    <xdr:col>1</xdr:col>
                    <xdr:colOff>693420</xdr:colOff>
                    <xdr:row>28</xdr:row>
                    <xdr:rowOff>0</xdr:rowOff>
                  </from>
                  <to>
                    <xdr:col>4</xdr:col>
                    <xdr:colOff>327660</xdr:colOff>
                    <xdr:row>29</xdr:row>
                    <xdr:rowOff>15240</xdr:rowOff>
                  </to>
                </anchor>
              </controlPr>
            </control>
          </mc:Choice>
        </mc:AlternateContent>
        <mc:AlternateContent xmlns:mc="http://schemas.openxmlformats.org/markup-compatibility/2006">
          <mc:Choice Requires="x14">
            <control shapeId="5189" r:id="rId39" name="Check Box 69">
              <controlPr defaultSize="0" autoFill="0" autoLine="0" autoPict="0">
                <anchor moveWithCells="1">
                  <from>
                    <xdr:col>4</xdr:col>
                    <xdr:colOff>457200</xdr:colOff>
                    <xdr:row>28</xdr:row>
                    <xdr:rowOff>0</xdr:rowOff>
                  </from>
                  <to>
                    <xdr:col>6</xdr:col>
                    <xdr:colOff>594360</xdr:colOff>
                    <xdr:row>29</xdr:row>
                    <xdr:rowOff>15240</xdr:rowOff>
                  </to>
                </anchor>
              </controlPr>
            </control>
          </mc:Choice>
        </mc:AlternateContent>
        <mc:AlternateContent xmlns:mc="http://schemas.openxmlformats.org/markup-compatibility/2006">
          <mc:Choice Requires="x14">
            <control shapeId="5190" r:id="rId40" name="Check Box 70">
              <controlPr defaultSize="0" autoFill="0" autoLine="0" autoPict="0">
                <anchor moveWithCells="1">
                  <from>
                    <xdr:col>4</xdr:col>
                    <xdr:colOff>1043940</xdr:colOff>
                    <xdr:row>34</xdr:row>
                    <xdr:rowOff>137160</xdr:rowOff>
                  </from>
                  <to>
                    <xdr:col>6</xdr:col>
                    <xdr:colOff>335280</xdr:colOff>
                    <xdr:row>36</xdr:row>
                    <xdr:rowOff>76200</xdr:rowOff>
                  </to>
                </anchor>
              </controlPr>
            </control>
          </mc:Choice>
        </mc:AlternateContent>
        <mc:AlternateContent xmlns:mc="http://schemas.openxmlformats.org/markup-compatibility/2006">
          <mc:Choice Requires="x14">
            <control shapeId="5191" r:id="rId41" name="Check Box 71">
              <controlPr defaultSize="0" autoFill="0" autoLine="0" autoPict="0">
                <anchor moveWithCells="1">
                  <from>
                    <xdr:col>6</xdr:col>
                    <xdr:colOff>480060</xdr:colOff>
                    <xdr:row>34</xdr:row>
                    <xdr:rowOff>99060</xdr:rowOff>
                  </from>
                  <to>
                    <xdr:col>7</xdr:col>
                    <xdr:colOff>350520</xdr:colOff>
                    <xdr:row>36</xdr:row>
                    <xdr:rowOff>114300</xdr:rowOff>
                  </to>
                </anchor>
              </controlPr>
            </control>
          </mc:Choice>
        </mc:AlternateContent>
        <mc:AlternateContent xmlns:mc="http://schemas.openxmlformats.org/markup-compatibility/2006">
          <mc:Choice Requires="x14">
            <control shapeId="5192" r:id="rId42" name="Check Box 72">
              <controlPr defaultSize="0" autoFill="0" autoLine="0" autoPict="0">
                <anchor moveWithCells="1">
                  <from>
                    <xdr:col>2</xdr:col>
                    <xdr:colOff>1028700</xdr:colOff>
                    <xdr:row>14</xdr:row>
                    <xdr:rowOff>198120</xdr:rowOff>
                  </from>
                  <to>
                    <xdr:col>3</xdr:col>
                    <xdr:colOff>129540</xdr:colOff>
                    <xdr:row>16</xdr:row>
                    <xdr:rowOff>53340</xdr:rowOff>
                  </to>
                </anchor>
              </controlPr>
            </control>
          </mc:Choice>
        </mc:AlternateContent>
        <mc:AlternateContent xmlns:mc="http://schemas.openxmlformats.org/markup-compatibility/2006">
          <mc:Choice Requires="x14">
            <control shapeId="5193" r:id="rId43" name="Check Box 73">
              <controlPr locked="0" defaultSize="0" autoFill="0" autoLine="0" autoPict="0">
                <anchor moveWithCells="1">
                  <from>
                    <xdr:col>0</xdr:col>
                    <xdr:colOff>274320</xdr:colOff>
                    <xdr:row>166</xdr:row>
                    <xdr:rowOff>190500</xdr:rowOff>
                  </from>
                  <to>
                    <xdr:col>6</xdr:col>
                    <xdr:colOff>114300</xdr:colOff>
                    <xdr:row>167</xdr:row>
                    <xdr:rowOff>198120</xdr:rowOff>
                  </to>
                </anchor>
              </controlPr>
            </control>
          </mc:Choice>
        </mc:AlternateContent>
        <mc:AlternateContent xmlns:mc="http://schemas.openxmlformats.org/markup-compatibility/2006">
          <mc:Choice Requires="x14">
            <control shapeId="5194" r:id="rId44" name="Check Box 74">
              <controlPr locked="0" defaultSize="0" autoFill="0" autoLine="0" autoPict="0">
                <anchor moveWithCells="1">
                  <from>
                    <xdr:col>0</xdr:col>
                    <xdr:colOff>274320</xdr:colOff>
                    <xdr:row>163</xdr:row>
                    <xdr:rowOff>198120</xdr:rowOff>
                  </from>
                  <to>
                    <xdr:col>6</xdr:col>
                    <xdr:colOff>868680</xdr:colOff>
                    <xdr:row>165</xdr:row>
                    <xdr:rowOff>22860</xdr:rowOff>
                  </to>
                </anchor>
              </controlPr>
            </control>
          </mc:Choice>
        </mc:AlternateContent>
        <mc:AlternateContent xmlns:mc="http://schemas.openxmlformats.org/markup-compatibility/2006">
          <mc:Choice Requires="x14">
            <control shapeId="5195" r:id="rId45" name="Check Box 75">
              <controlPr locked="0" defaultSize="0" autoFill="0" autoLine="0" autoPict="0">
                <anchor moveWithCells="1">
                  <from>
                    <xdr:col>0</xdr:col>
                    <xdr:colOff>274320</xdr:colOff>
                    <xdr:row>165</xdr:row>
                    <xdr:rowOff>198120</xdr:rowOff>
                  </from>
                  <to>
                    <xdr:col>6</xdr:col>
                    <xdr:colOff>114300</xdr:colOff>
                    <xdr:row>167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204DB-2BF5-4D54-81C9-01737D47E61D}">
  <sheetPr>
    <pageSetUpPr fitToPage="1"/>
  </sheetPr>
  <dimension ref="A1:V190"/>
  <sheetViews>
    <sheetView showGridLines="0" workbookViewId="0">
      <selection activeCell="E6" sqref="E6:G6"/>
    </sheetView>
  </sheetViews>
  <sheetFormatPr baseColWidth="10" defaultColWidth="10.8984375" defaultRowHeight="16.5" customHeight="1" x14ac:dyDescent="0.3"/>
  <cols>
    <col min="1" max="1" width="4.3984375" style="5" customWidth="1"/>
    <col min="2" max="2" width="2.09765625" style="1" customWidth="1"/>
    <col min="3" max="3" width="22.69921875" style="1" customWidth="1"/>
    <col min="4" max="4" width="2" style="1" customWidth="1"/>
    <col min="5" max="5" width="22.19921875" style="1" customWidth="1"/>
    <col min="6" max="6" width="9.3984375" style="1" customWidth="1"/>
    <col min="7" max="7" width="2.09765625" style="1" customWidth="1"/>
    <col min="8" max="8" width="22.19921875" style="1" customWidth="1"/>
    <col min="9" max="9" width="2.09765625" style="1" customWidth="1"/>
    <col min="10" max="10" width="18" style="1" customWidth="1"/>
    <col min="11" max="11" width="2.09765625" style="1" customWidth="1"/>
    <col min="12" max="12" width="19.59765625" style="1" customWidth="1"/>
    <col min="13" max="13" width="3" style="1" customWidth="1"/>
    <col min="14" max="14" width="9.69921875" style="1" hidden="1" customWidth="1"/>
    <col min="15" max="15" width="10.59765625" style="1" hidden="1" customWidth="1"/>
    <col min="16" max="17" width="8" style="1" hidden="1" customWidth="1"/>
    <col min="18" max="18" width="3.59765625" style="1" hidden="1" customWidth="1"/>
    <col min="19" max="19" width="9.3984375" style="1" hidden="1" customWidth="1"/>
    <col min="20" max="20" width="93.3984375" style="1" hidden="1" customWidth="1"/>
    <col min="21" max="21" width="10.8984375" style="1"/>
    <col min="22" max="22" width="0" style="1" hidden="1" customWidth="1"/>
    <col min="23" max="16384" width="10.8984375" style="1"/>
  </cols>
  <sheetData>
    <row r="1" spans="1:22" ht="24" customHeight="1" x14ac:dyDescent="0.3">
      <c r="A1" s="8" t="s">
        <v>212</v>
      </c>
      <c r="M1" s="1" t="s">
        <v>424</v>
      </c>
    </row>
    <row r="2" spans="1:22" ht="24" customHeight="1" x14ac:dyDescent="0.3">
      <c r="A2" s="278" t="str">
        <f>IF(Gesuch!A190="","Alle relevanten Felder sind ausgefüllt und die Kästchen angekreuzt. Das Gesuch ist komplett ausgefüllt. Die Angaben und Belege sind zu prüfen.","")</f>
        <v/>
      </c>
      <c r="B2" s="278"/>
      <c r="C2" s="278"/>
      <c r="D2" s="278"/>
      <c r="E2" s="278"/>
      <c r="F2" s="278"/>
      <c r="G2" s="278"/>
      <c r="H2" s="278"/>
      <c r="I2" s="278"/>
      <c r="J2" s="278"/>
      <c r="K2" s="278"/>
      <c r="L2" s="278"/>
      <c r="M2" s="278"/>
    </row>
    <row r="3" spans="1:22" ht="32.4" customHeight="1" x14ac:dyDescent="0.3">
      <c r="A3" s="279" t="str" cm="1">
        <f t="array" ref="A3">IF(Gesuch!A190&lt;&gt;"","Fehler in: "&amp;_xlfn.TEXTJOIN(" ",TRUE,_xlfn._xlws.FILTER(Gesuch!R6:'Gesuch'!R185,Gesuch!R6:'Gesuch'!R185&lt;&gt;"")),"")</f>
        <v>Fehler in: [Name des Unternehmens] [Im Kanton Zug steuerpflichtig in] [UID] [Personen-Nr.] [Name] [Vorname] [Funktion (Vertretung: Vollmacht beilegen)] [Strasse, Nr.] [PLZ] [Ort] [E-Mail (für Rückfragen und Entscheidkommunikation)] [Telefon-Nr.] [Umsatz in CHF] [Personalstellen in Vollzeitäquivalenten Ende 2025] [Gesamter Personalaufwand im Kanton Zug 2025] [Unternehmenszweck (kurz gefasst)] [Kreuzen Sie an, wofür Sie ein Fördergesuch einreichen.] [Branchen-Cluster] [Inventar beruht auf Standard (gem. § 3 Abs. 1 SEVO)] [Revisionsunternehmen gemäss § 4 Abs. 2 SEVO] [Bestätigung Treibhausgasinventar] [Bestätigung keine Offsets] [Bestätigung branchenübliche Messgrösse] [Bestätigung Beleg der Emissionsintensität] [Berechnungsübersicht] [Beleg mit Basisdaten] [Betreibungsregisterauszug] [Keine staatlichen Fördermittel bezogen] [Rückerstattungspflicht zur Kenntnis genommen] [Keine finanziellen Ausstände] [Name der Bank] [Ort der Bank] [IBAN] [Konto lautend auf]</v>
      </c>
      <c r="B3" s="279"/>
      <c r="C3" s="279"/>
      <c r="D3" s="279"/>
      <c r="E3" s="279"/>
      <c r="F3" s="279"/>
      <c r="G3" s="279"/>
      <c r="H3" s="279"/>
      <c r="I3" s="279"/>
      <c r="J3" s="279"/>
      <c r="K3" s="279"/>
      <c r="L3" s="279"/>
      <c r="M3" s="279"/>
    </row>
    <row r="4" spans="1:22" ht="15" customHeight="1" thickBot="1" x14ac:dyDescent="0.35">
      <c r="A4" s="120"/>
      <c r="B4" s="6"/>
      <c r="C4" s="6"/>
      <c r="D4" s="6"/>
      <c r="E4" s="6"/>
      <c r="F4" s="6"/>
      <c r="G4" s="6"/>
      <c r="H4" s="6"/>
      <c r="I4" s="6"/>
      <c r="J4" s="6"/>
      <c r="K4" s="6"/>
      <c r="L4" s="6"/>
      <c r="M4" s="6"/>
    </row>
    <row r="5" spans="1:22" ht="21" customHeight="1" thickBot="1" x14ac:dyDescent="0.35">
      <c r="A5" s="118" t="str">
        <f>"Förderjahr "&amp;Gesuch!C3</f>
        <v>Förderjahr 2025</v>
      </c>
      <c r="B5" s="119"/>
      <c r="C5" s="119"/>
      <c r="D5" s="119"/>
      <c r="E5" s="119"/>
      <c r="F5" s="119"/>
      <c r="G5" s="119"/>
      <c r="H5" s="127" t="s">
        <v>306</v>
      </c>
      <c r="I5" s="121"/>
      <c r="J5" s="142"/>
      <c r="K5" s="6"/>
      <c r="L5" s="6"/>
      <c r="M5" s="6"/>
      <c r="N5" s="3"/>
      <c r="V5" s="1" t="str">
        <f>IF(J5="","["&amp;H5&amp;"]","")</f>
        <v>[Fallnummer]</v>
      </c>
    </row>
    <row r="6" spans="1:22" ht="21" customHeight="1" thickBot="1" x14ac:dyDescent="0.35">
      <c r="A6" s="118"/>
      <c r="B6" s="119"/>
      <c r="C6" s="119"/>
      <c r="D6" s="119"/>
      <c r="E6" s="119"/>
      <c r="F6" s="119"/>
      <c r="G6" s="119"/>
      <c r="H6" s="98" t="s">
        <v>316</v>
      </c>
      <c r="I6" s="121"/>
      <c r="J6" s="143"/>
      <c r="K6" s="6"/>
      <c r="L6" s="6"/>
      <c r="M6" s="6"/>
      <c r="N6" s="3"/>
      <c r="V6" s="1" t="str">
        <f t="shared" ref="V6:V7" si="0">IF(J6="","["&amp;H6&amp;"]","")</f>
        <v>[Prüfer 1]</v>
      </c>
    </row>
    <row r="7" spans="1:22" ht="21" customHeight="1" thickBot="1" x14ac:dyDescent="0.35">
      <c r="A7" s="118"/>
      <c r="B7" s="119"/>
      <c r="C7" s="119"/>
      <c r="D7" s="119"/>
      <c r="E7" s="119"/>
      <c r="F7" s="119"/>
      <c r="G7" s="119"/>
      <c r="H7" s="98" t="s">
        <v>317</v>
      </c>
      <c r="I7" s="121"/>
      <c r="J7" s="143"/>
      <c r="K7" s="6"/>
      <c r="L7" s="6"/>
      <c r="M7" s="6"/>
      <c r="N7" s="3"/>
      <c r="V7" s="1" t="str">
        <f t="shared" si="0"/>
        <v>[Prüfer 2]</v>
      </c>
    </row>
    <row r="8" spans="1:22" ht="21" customHeight="1" thickBot="1" x14ac:dyDescent="0.35">
      <c r="A8" s="19" t="s">
        <v>38</v>
      </c>
      <c r="B8" s="6"/>
      <c r="C8" s="6"/>
      <c r="D8" s="6"/>
      <c r="E8" s="6"/>
      <c r="F8" s="6"/>
      <c r="G8" s="6"/>
      <c r="H8" s="6"/>
      <c r="I8" s="6"/>
      <c r="J8" s="6"/>
      <c r="K8" s="6"/>
      <c r="L8" s="6"/>
      <c r="M8" s="6"/>
      <c r="R8" s="2"/>
    </row>
    <row r="9" spans="1:22" ht="16.5" customHeight="1" thickBot="1" x14ac:dyDescent="0.35">
      <c r="A9" s="7"/>
      <c r="B9" s="4" t="s">
        <v>1</v>
      </c>
      <c r="C9" s="4"/>
      <c r="D9" s="4"/>
      <c r="E9" s="188">
        <f>Gesuch!E6</f>
        <v>0</v>
      </c>
      <c r="F9" s="4"/>
      <c r="G9" s="4"/>
      <c r="H9" s="4"/>
      <c r="I9" s="4"/>
      <c r="J9" s="257"/>
      <c r="K9" s="260"/>
      <c r="L9" s="261"/>
      <c r="M9" s="4"/>
      <c r="N9" s="1" t="s">
        <v>26</v>
      </c>
      <c r="R9" s="3"/>
    </row>
    <row r="10" spans="1:22" ht="16.5" customHeight="1" thickBot="1" x14ac:dyDescent="0.35">
      <c r="A10" s="7"/>
      <c r="B10" s="4" t="s">
        <v>2</v>
      </c>
      <c r="C10" s="4"/>
      <c r="D10" s="4"/>
      <c r="E10" s="189" t="e">
        <f>Datensatz!E2</f>
        <v>#N/A</v>
      </c>
      <c r="F10" s="4"/>
      <c r="G10" s="4"/>
      <c r="H10" s="4"/>
      <c r="I10" s="4"/>
      <c r="J10" s="257"/>
      <c r="K10" s="260"/>
      <c r="L10" s="261"/>
      <c r="M10" s="4"/>
      <c r="N10" s="1" t="s">
        <v>26</v>
      </c>
      <c r="R10" s="3"/>
    </row>
    <row r="11" spans="1:22" ht="16.5" hidden="1" customHeight="1" thickBot="1" x14ac:dyDescent="0.35">
      <c r="A11" s="7"/>
      <c r="B11" s="4" t="s">
        <v>15</v>
      </c>
      <c r="C11" s="4"/>
      <c r="D11" s="4"/>
      <c r="E11" s="189"/>
      <c r="F11" s="4"/>
      <c r="G11" s="4"/>
      <c r="H11" s="4"/>
      <c r="I11" s="4"/>
      <c r="J11" s="95"/>
      <c r="K11" s="96"/>
      <c r="L11" s="4"/>
      <c r="M11" s="4"/>
      <c r="R11" s="3"/>
    </row>
    <row r="12" spans="1:22" ht="16.5" customHeight="1" thickBot="1" x14ac:dyDescent="0.35">
      <c r="A12" s="7"/>
      <c r="B12" s="6" t="s">
        <v>23</v>
      </c>
      <c r="C12" s="6"/>
      <c r="D12" s="6"/>
      <c r="E12" s="190" t="str">
        <f>IF(Gesuch!E9="","",Gesuch!E9)</f>
        <v/>
      </c>
      <c r="F12" s="6"/>
      <c r="G12" s="6"/>
      <c r="H12" s="6"/>
      <c r="I12" s="6"/>
      <c r="J12" s="200"/>
      <c r="K12" s="6"/>
      <c r="L12" s="4" t="s">
        <v>360</v>
      </c>
      <c r="M12" s="4"/>
      <c r="N12" s="69" t="s">
        <v>24</v>
      </c>
    </row>
    <row r="13" spans="1:22" ht="16.5" customHeight="1" thickBot="1" x14ac:dyDescent="0.35">
      <c r="A13" s="7"/>
      <c r="B13" s="6" t="s">
        <v>415</v>
      </c>
      <c r="C13" s="6"/>
      <c r="D13" s="6"/>
      <c r="E13" s="191">
        <f>Gesuch!E10</f>
        <v>0</v>
      </c>
      <c r="F13" s="6"/>
      <c r="G13" s="6"/>
      <c r="H13" s="6"/>
      <c r="I13" s="6"/>
      <c r="J13" s="177"/>
      <c r="K13" s="6"/>
      <c r="L13" s="4" t="s">
        <v>416</v>
      </c>
      <c r="M13" s="4"/>
      <c r="N13" s="69"/>
    </row>
    <row r="14" spans="1:22" ht="16.5" customHeight="1" x14ac:dyDescent="0.3">
      <c r="A14" s="7"/>
      <c r="B14" s="6"/>
      <c r="C14" s="6"/>
      <c r="D14" s="6"/>
      <c r="E14" s="6"/>
      <c r="F14" s="6"/>
      <c r="G14" s="6"/>
      <c r="H14" s="6"/>
      <c r="I14" s="6"/>
      <c r="J14" s="6"/>
      <c r="K14" s="6"/>
      <c r="L14" s="6"/>
      <c r="M14" s="6"/>
      <c r="N14" s="84" t="s">
        <v>53</v>
      </c>
    </row>
    <row r="15" spans="1:22" ht="16.5" customHeight="1" thickBot="1" x14ac:dyDescent="0.35">
      <c r="A15" s="7" t="s">
        <v>22</v>
      </c>
      <c r="B15" s="6"/>
      <c r="C15" s="6"/>
      <c r="D15" s="6"/>
      <c r="E15" s="6"/>
      <c r="F15" s="6"/>
      <c r="G15" s="6"/>
      <c r="H15" s="6"/>
      <c r="I15" s="6"/>
      <c r="J15" s="6"/>
      <c r="K15" s="6"/>
      <c r="L15" s="6"/>
      <c r="M15" s="6"/>
    </row>
    <row r="16" spans="1:22" ht="16.5" customHeight="1" thickBot="1" x14ac:dyDescent="0.35">
      <c r="A16" s="7"/>
      <c r="B16" s="6" t="s">
        <v>16</v>
      </c>
      <c r="C16" s="6"/>
      <c r="D16" s="6"/>
      <c r="E16" s="192">
        <f>Datensatz!I2</f>
        <v>0</v>
      </c>
      <c r="F16" s="6"/>
      <c r="G16" s="6"/>
      <c r="H16" s="6"/>
      <c r="I16" s="6"/>
      <c r="J16" s="136"/>
      <c r="K16" s="6"/>
      <c r="L16" s="4"/>
      <c r="M16" s="4"/>
      <c r="N16" s="1" t="s">
        <v>26</v>
      </c>
    </row>
    <row r="17" spans="1:14" ht="16.5" customHeight="1" thickBot="1" x14ac:dyDescent="0.35">
      <c r="A17" s="7"/>
      <c r="B17" s="6" t="s">
        <v>17</v>
      </c>
      <c r="C17" s="6"/>
      <c r="D17" s="6"/>
      <c r="E17" s="192">
        <f>Gesuch!E14</f>
        <v>0</v>
      </c>
      <c r="F17" s="192"/>
      <c r="G17" s="192"/>
      <c r="H17" s="6"/>
      <c r="I17" s="6"/>
      <c r="J17" s="257"/>
      <c r="K17" s="258"/>
      <c r="L17" s="259"/>
      <c r="M17" s="4"/>
      <c r="N17" s="1" t="s">
        <v>26</v>
      </c>
    </row>
    <row r="18" spans="1:14" ht="16.5" customHeight="1" thickBot="1" x14ac:dyDescent="0.35">
      <c r="A18" s="7"/>
      <c r="B18" s="6" t="s">
        <v>18</v>
      </c>
      <c r="C18" s="6"/>
      <c r="D18" s="6"/>
      <c r="E18" s="192">
        <f>Gesuch!E15</f>
        <v>0</v>
      </c>
      <c r="F18" s="192"/>
      <c r="G18" s="192"/>
      <c r="H18" s="6"/>
      <c r="I18" s="6"/>
      <c r="J18" s="257"/>
      <c r="K18" s="258"/>
      <c r="L18" s="259"/>
      <c r="M18" s="4"/>
      <c r="N18" s="1" t="s">
        <v>26</v>
      </c>
    </row>
    <row r="19" spans="1:14" ht="16.5" customHeight="1" thickBot="1" x14ac:dyDescent="0.35">
      <c r="A19" s="7"/>
      <c r="B19" s="6" t="s">
        <v>406</v>
      </c>
      <c r="C19" s="6"/>
      <c r="D19" s="127" t="str">
        <f>IF(Datensatz!M2=TRUE,"Vertretung ","")</f>
        <v/>
      </c>
      <c r="E19" s="192">
        <f>Gesuch!E16</f>
        <v>0</v>
      </c>
      <c r="F19" s="192"/>
      <c r="G19" s="192"/>
      <c r="H19" s="6"/>
      <c r="I19" s="197"/>
      <c r="J19" s="257"/>
      <c r="K19" s="260"/>
      <c r="L19" s="261"/>
      <c r="M19" s="4"/>
    </row>
    <row r="20" spans="1:14" ht="16.5" customHeight="1" thickBot="1" x14ac:dyDescent="0.35">
      <c r="A20" s="7"/>
      <c r="B20" s="6" t="s">
        <v>19</v>
      </c>
      <c r="C20" s="6"/>
      <c r="D20" s="6"/>
      <c r="E20" s="192">
        <f>Gesuch!E17</f>
        <v>0</v>
      </c>
      <c r="F20" s="192"/>
      <c r="G20" s="192"/>
      <c r="H20" s="6"/>
      <c r="I20" s="6"/>
      <c r="J20" s="257"/>
      <c r="K20" s="258"/>
      <c r="L20" s="259"/>
      <c r="M20" s="4"/>
      <c r="N20" s="1" t="s">
        <v>26</v>
      </c>
    </row>
    <row r="21" spans="1:14" ht="16.5" customHeight="1" thickBot="1" x14ac:dyDescent="0.35">
      <c r="A21" s="7"/>
      <c r="B21" s="6" t="s">
        <v>311</v>
      </c>
      <c r="C21" s="6"/>
      <c r="D21" s="6"/>
      <c r="E21" s="192">
        <f>Gesuch!E18</f>
        <v>0</v>
      </c>
      <c r="F21" s="6"/>
      <c r="G21" s="6"/>
      <c r="H21" s="6"/>
      <c r="I21" s="6"/>
      <c r="J21" s="137"/>
      <c r="K21" s="6"/>
      <c r="L21" s="6"/>
      <c r="M21" s="4"/>
      <c r="N21" s="1" t="s">
        <v>182</v>
      </c>
    </row>
    <row r="22" spans="1:14" ht="16.5" customHeight="1" thickBot="1" x14ac:dyDescent="0.35">
      <c r="A22" s="7"/>
      <c r="B22" s="6" t="s">
        <v>312</v>
      </c>
      <c r="C22" s="6"/>
      <c r="D22" s="6"/>
      <c r="E22" s="192">
        <f>Gesuch!E19</f>
        <v>0</v>
      </c>
      <c r="F22" s="6"/>
      <c r="G22" s="6"/>
      <c r="H22" s="6"/>
      <c r="I22" s="6"/>
      <c r="J22" s="257"/>
      <c r="K22" s="260"/>
      <c r="L22" s="261"/>
      <c r="M22" s="4"/>
      <c r="N22" s="1" t="s">
        <v>54</v>
      </c>
    </row>
    <row r="23" spans="1:14" ht="16.5" customHeight="1" thickBot="1" x14ac:dyDescent="0.35">
      <c r="A23" s="7"/>
      <c r="B23" s="6" t="s">
        <v>20</v>
      </c>
      <c r="C23" s="6"/>
      <c r="D23" s="6"/>
      <c r="E23" s="192">
        <f>Gesuch!E20</f>
        <v>0</v>
      </c>
      <c r="F23" s="192"/>
      <c r="G23" s="192"/>
      <c r="H23" s="6"/>
      <c r="I23" s="6"/>
      <c r="J23" s="257"/>
      <c r="K23" s="258"/>
      <c r="L23" s="259"/>
      <c r="M23" s="4"/>
      <c r="N23" s="1" t="s">
        <v>54</v>
      </c>
    </row>
    <row r="24" spans="1:14" ht="16.5" customHeight="1" thickBot="1" x14ac:dyDescent="0.35">
      <c r="A24" s="7"/>
      <c r="B24" s="6" t="s">
        <v>21</v>
      </c>
      <c r="C24" s="6"/>
      <c r="D24" s="6"/>
      <c r="E24" s="192">
        <f>Gesuch!E21</f>
        <v>0</v>
      </c>
      <c r="F24" s="6"/>
      <c r="G24" s="6"/>
      <c r="H24" s="6"/>
      <c r="I24" s="6"/>
      <c r="J24" s="138"/>
      <c r="K24" s="6"/>
      <c r="L24" s="4"/>
      <c r="M24" s="4"/>
      <c r="N24" s="1" t="s">
        <v>24</v>
      </c>
    </row>
    <row r="25" spans="1:14" ht="16.5" customHeight="1" x14ac:dyDescent="0.3">
      <c r="A25" s="7"/>
      <c r="B25" s="6"/>
      <c r="C25" s="6"/>
      <c r="D25" s="6"/>
      <c r="E25" s="6"/>
      <c r="F25" s="6"/>
      <c r="G25" s="6"/>
      <c r="H25" s="6"/>
      <c r="I25" s="6"/>
      <c r="J25" s="6"/>
      <c r="K25" s="6"/>
      <c r="L25" s="6"/>
      <c r="M25" s="6"/>
    </row>
    <row r="26" spans="1:14" ht="16.5" customHeight="1" thickBot="1" x14ac:dyDescent="0.35">
      <c r="A26" s="7" t="s">
        <v>374</v>
      </c>
      <c r="B26" s="6"/>
      <c r="C26" s="6"/>
      <c r="D26" s="6"/>
      <c r="E26" s="6"/>
      <c r="F26" s="6"/>
      <c r="G26" s="6"/>
      <c r="H26" s="6"/>
      <c r="I26" s="6"/>
      <c r="J26" s="6"/>
      <c r="K26" s="6"/>
      <c r="L26" s="6"/>
      <c r="M26" s="6"/>
    </row>
    <row r="27" spans="1:14" ht="16.5" customHeight="1" thickBot="1" x14ac:dyDescent="0.35">
      <c r="A27" s="7"/>
      <c r="B27" s="6" t="s">
        <v>376</v>
      </c>
      <c r="C27" s="6"/>
      <c r="D27" s="6"/>
      <c r="E27" s="193">
        <f>Gesuch!E24</f>
        <v>0</v>
      </c>
      <c r="F27" s="6"/>
      <c r="G27" s="6"/>
      <c r="H27" s="6"/>
      <c r="I27" s="6"/>
      <c r="J27" s="176"/>
      <c r="K27" s="6"/>
      <c r="L27" s="6"/>
      <c r="M27" s="6"/>
    </row>
    <row r="28" spans="1:14" ht="16.5" customHeight="1" thickBot="1" x14ac:dyDescent="0.35">
      <c r="A28" s="7"/>
      <c r="B28" s="6" t="s">
        <v>401</v>
      </c>
      <c r="C28" s="6"/>
      <c r="D28" s="6"/>
      <c r="E28" s="202">
        <f>Gesuch!E25</f>
        <v>0</v>
      </c>
      <c r="F28" s="6"/>
      <c r="G28" s="6"/>
      <c r="H28" s="6"/>
      <c r="I28" s="6"/>
      <c r="J28" s="201"/>
      <c r="K28" s="6"/>
      <c r="L28" s="6"/>
      <c r="M28" s="6"/>
    </row>
    <row r="29" spans="1:14" ht="16.5" customHeight="1" thickBot="1" x14ac:dyDescent="0.35">
      <c r="A29" s="7"/>
      <c r="B29" s="6" t="str">
        <f>"Personalaufwand in ZG "&amp;Gesuch!C3</f>
        <v>Personalaufwand in ZG 2025</v>
      </c>
      <c r="C29" s="6"/>
      <c r="D29" s="6"/>
      <c r="E29" s="193">
        <f>Gesuch!E26</f>
        <v>0</v>
      </c>
      <c r="F29" s="6"/>
      <c r="G29" s="6"/>
      <c r="H29" s="6"/>
      <c r="I29" s="6"/>
      <c r="J29" s="176"/>
      <c r="K29" s="6"/>
      <c r="L29" s="6"/>
      <c r="M29" s="6"/>
    </row>
    <row r="30" spans="1:14" ht="32.4" customHeight="1" thickBot="1" x14ac:dyDescent="0.35">
      <c r="A30" s="7"/>
      <c r="B30" s="164" t="s">
        <v>402</v>
      </c>
      <c r="C30" s="6"/>
      <c r="D30" s="6"/>
      <c r="E30" s="273">
        <f>Gesuch!E27</f>
        <v>0</v>
      </c>
      <c r="F30" s="273"/>
      <c r="G30" s="273"/>
      <c r="H30" s="273"/>
      <c r="I30" s="6"/>
      <c r="J30" s="244"/>
      <c r="K30" s="245"/>
      <c r="L30" s="246"/>
      <c r="M30" s="6"/>
    </row>
    <row r="31" spans="1:14" ht="16.5" customHeight="1" x14ac:dyDescent="0.3">
      <c r="A31" s="7"/>
      <c r="B31" s="6"/>
      <c r="C31" s="6"/>
      <c r="D31" s="6"/>
      <c r="E31" s="6"/>
      <c r="F31" s="6"/>
      <c r="G31" s="6"/>
      <c r="H31" s="6"/>
      <c r="I31" s="6"/>
      <c r="J31" s="6"/>
      <c r="K31" s="6"/>
      <c r="L31" s="6"/>
      <c r="M31" s="6"/>
    </row>
    <row r="32" spans="1:14" ht="16.5" customHeight="1" x14ac:dyDescent="0.3">
      <c r="A32" s="7" t="s">
        <v>372</v>
      </c>
      <c r="B32" s="6"/>
      <c r="C32" s="6"/>
      <c r="D32" s="194" t="str">
        <f>IF(Datensatz!V2=TRUE,"j","")</f>
        <v/>
      </c>
      <c r="E32" s="6" t="s">
        <v>404</v>
      </c>
      <c r="F32" s="6"/>
      <c r="G32" s="6"/>
      <c r="H32" s="6"/>
      <c r="I32" s="194" t="str">
        <f>IF(Datensatz!W2=TRUE,"j","")</f>
        <v/>
      </c>
      <c r="J32" s="6" t="s">
        <v>403</v>
      </c>
      <c r="K32" s="6"/>
      <c r="L32" s="6"/>
      <c r="M32" s="6"/>
    </row>
    <row r="33" spans="1:18" ht="16.5" customHeight="1" x14ac:dyDescent="0.3">
      <c r="A33" s="100" t="str">
        <f>IF(AND(I32="j",Datensatz!T3&lt;1500000),"Die Förderung der CO2-Reduktion erfolgt nur bei einem Personalaufwand von mindestens 1.5 Millionen Franken.","")</f>
        <v/>
      </c>
      <c r="B33" s="6"/>
      <c r="C33" s="6"/>
      <c r="D33" s="6"/>
      <c r="E33" s="6"/>
      <c r="F33" s="6"/>
      <c r="G33" s="6"/>
      <c r="H33" s="6"/>
      <c r="I33" s="6"/>
      <c r="J33" s="6"/>
      <c r="K33" s="6"/>
      <c r="L33" s="6"/>
      <c r="M33" s="6"/>
    </row>
    <row r="35" spans="1:18" ht="16.5" customHeight="1" thickBot="1" x14ac:dyDescent="0.35">
      <c r="A35" s="20" t="str">
        <f>Gesuch!A32</f>
        <v>Aufwandseitige Innovationsförderung</v>
      </c>
      <c r="B35" s="10"/>
      <c r="C35" s="10"/>
      <c r="D35" s="10"/>
      <c r="E35" s="10"/>
      <c r="F35" s="10"/>
      <c r="G35" s="10"/>
      <c r="H35" s="10"/>
      <c r="I35" s="10"/>
      <c r="J35" s="10"/>
      <c r="K35" s="10"/>
      <c r="L35" s="10"/>
      <c r="M35" s="10"/>
    </row>
    <row r="36" spans="1:18" ht="16.5" customHeight="1" thickBot="1" x14ac:dyDescent="0.35">
      <c r="A36" s="9"/>
      <c r="B36" s="10" t="s">
        <v>378</v>
      </c>
      <c r="C36" s="10"/>
      <c r="D36" s="10"/>
      <c r="E36" s="195">
        <f>Gesuch!E33</f>
        <v>0</v>
      </c>
      <c r="F36" s="195"/>
      <c r="G36" s="10"/>
      <c r="H36" s="10" t="s">
        <v>379</v>
      </c>
      <c r="I36" s="10"/>
      <c r="J36" s="230"/>
      <c r="K36" s="231"/>
      <c r="L36" s="232"/>
      <c r="M36" s="10"/>
      <c r="N36" s="1" t="s">
        <v>26</v>
      </c>
      <c r="O36" s="1" t="s">
        <v>60</v>
      </c>
    </row>
    <row r="37" spans="1:18" ht="16.5" customHeight="1" x14ac:dyDescent="0.3">
      <c r="A37" s="9"/>
      <c r="B37" s="11"/>
      <c r="C37" s="11"/>
      <c r="D37" s="11"/>
      <c r="E37" s="11"/>
      <c r="F37" s="11"/>
      <c r="G37" s="11"/>
      <c r="H37" s="11"/>
      <c r="I37" s="11"/>
      <c r="J37" s="11"/>
      <c r="K37" s="11"/>
      <c r="L37" s="11"/>
      <c r="M37" s="11"/>
      <c r="N37" s="2"/>
      <c r="O37" s="2"/>
      <c r="P37" s="2"/>
      <c r="Q37" s="2"/>
      <c r="R37" s="2"/>
    </row>
    <row r="38" spans="1:18" ht="16.5" customHeight="1" x14ac:dyDescent="0.3">
      <c r="A38" s="9" t="str">
        <f>Gesuch!A35</f>
        <v>Art der förderberechtigten Innovation (§ 6 SEVO)</v>
      </c>
      <c r="B38" s="10"/>
      <c r="C38" s="10"/>
      <c r="D38" s="10"/>
      <c r="E38" s="10"/>
      <c r="F38" s="10"/>
      <c r="G38" s="10"/>
      <c r="H38" s="10"/>
      <c r="I38" s="10"/>
      <c r="J38" s="10"/>
      <c r="K38" s="10"/>
      <c r="L38" s="10"/>
      <c r="M38" s="10"/>
      <c r="O38" s="13"/>
      <c r="P38" s="107" t="s">
        <v>291</v>
      </c>
      <c r="Q38" s="3"/>
      <c r="R38" s="3"/>
    </row>
    <row r="39" spans="1:18" ht="16.5" customHeight="1" x14ac:dyDescent="0.3">
      <c r="A39" s="9"/>
      <c r="B39" s="196" t="str">
        <f>IF(Datensatz!Y2=TRUE,"j","")</f>
        <v/>
      </c>
      <c r="C39" s="10" t="s">
        <v>4</v>
      </c>
      <c r="D39" s="196" t="str">
        <f>IF(Datensatz!Z2=TRUE,"j","")</f>
        <v/>
      </c>
      <c r="E39" s="12" t="s">
        <v>5</v>
      </c>
      <c r="F39" s="10"/>
      <c r="G39" s="196" t="str">
        <f>IF(Datensatz!AA2=TRUE,"j","")</f>
        <v/>
      </c>
      <c r="H39" s="10" t="s">
        <v>6</v>
      </c>
      <c r="I39" s="196" t="str">
        <f>IF(Datensatz!AB2=TRUE,"j","")</f>
        <v/>
      </c>
      <c r="J39" s="10" t="s">
        <v>396</v>
      </c>
      <c r="K39" s="196" t="str">
        <f>IF(Datensatz!AC2=TRUE,"j","")</f>
        <v/>
      </c>
      <c r="L39" s="10" t="s">
        <v>397</v>
      </c>
      <c r="M39" s="10"/>
      <c r="N39" s="1" t="s">
        <v>68</v>
      </c>
      <c r="O39" s="69" t="s">
        <v>57</v>
      </c>
      <c r="P39" s="3"/>
      <c r="Q39" s="3"/>
      <c r="R39" s="3"/>
    </row>
    <row r="40" spans="1:18" ht="16.5" customHeight="1" x14ac:dyDescent="0.3">
      <c r="A40" s="9"/>
      <c r="B40" s="197"/>
      <c r="C40" s="10"/>
      <c r="D40" s="197"/>
      <c r="E40" s="12"/>
      <c r="F40" s="10"/>
      <c r="G40" s="197"/>
      <c r="H40" s="10"/>
      <c r="I40" s="197"/>
      <c r="J40" s="10"/>
      <c r="K40" s="197"/>
      <c r="L40" s="10"/>
      <c r="M40" s="10"/>
      <c r="O40" s="69"/>
      <c r="P40" s="3"/>
      <c r="Q40" s="3"/>
      <c r="R40" s="3"/>
    </row>
    <row r="41" spans="1:18" ht="16.5" customHeight="1" x14ac:dyDescent="0.3">
      <c r="A41" s="9"/>
      <c r="B41" s="12"/>
      <c r="C41" s="12"/>
      <c r="D41" s="12"/>
      <c r="E41" s="12"/>
      <c r="F41" s="12"/>
      <c r="G41" s="12"/>
      <c r="H41" s="12"/>
      <c r="I41" s="12"/>
      <c r="J41" s="12"/>
      <c r="K41" s="12"/>
      <c r="L41" s="12"/>
      <c r="M41" s="12"/>
      <c r="N41" s="3"/>
      <c r="O41" s="69" t="s">
        <v>59</v>
      </c>
      <c r="P41" s="3"/>
      <c r="Q41" s="3"/>
      <c r="R41" s="3"/>
    </row>
    <row r="42" spans="1:18" ht="16.5" customHeight="1" thickBot="1" x14ac:dyDescent="0.35">
      <c r="A42" s="9"/>
      <c r="B42" s="109" t="s">
        <v>380</v>
      </c>
      <c r="C42" s="108"/>
      <c r="D42" s="108"/>
      <c r="E42" s="108"/>
      <c r="F42" s="108"/>
      <c r="G42" s="108"/>
      <c r="H42" s="108"/>
      <c r="I42" s="108"/>
      <c r="J42" s="108"/>
      <c r="K42" s="108"/>
      <c r="L42" s="108"/>
      <c r="M42" s="10"/>
      <c r="O42" s="69"/>
    </row>
    <row r="43" spans="1:18" ht="66" customHeight="1" thickBot="1" x14ac:dyDescent="0.35">
      <c r="A43" s="9"/>
      <c r="B43" s="269">
        <f>Gesuch!B39</f>
        <v>0</v>
      </c>
      <c r="C43" s="269"/>
      <c r="D43" s="269"/>
      <c r="E43" s="269"/>
      <c r="F43" s="269"/>
      <c r="G43" s="269"/>
      <c r="H43" s="269"/>
      <c r="I43" s="110"/>
      <c r="J43" s="244"/>
      <c r="K43" s="245"/>
      <c r="L43" s="246"/>
      <c r="M43" s="10"/>
      <c r="N43" s="1" t="s">
        <v>26</v>
      </c>
      <c r="O43" s="69" t="s">
        <v>55</v>
      </c>
    </row>
    <row r="44" spans="1:18" ht="16.5" customHeight="1" x14ac:dyDescent="0.3">
      <c r="A44" s="9"/>
      <c r="B44" s="110"/>
      <c r="C44" s="110"/>
      <c r="D44" s="110"/>
      <c r="E44" s="110"/>
      <c r="F44" s="110"/>
      <c r="G44" s="110"/>
      <c r="H44" s="110"/>
      <c r="I44" s="110"/>
      <c r="J44" s="110"/>
      <c r="K44" s="110"/>
      <c r="L44" s="110"/>
      <c r="M44" s="10"/>
      <c r="O44" s="69" t="s">
        <v>56</v>
      </c>
    </row>
    <row r="45" spans="1:18" ht="16.5" hidden="1" customHeight="1" x14ac:dyDescent="0.3">
      <c r="A45" s="9"/>
      <c r="B45" s="242" t="s">
        <v>25</v>
      </c>
      <c r="C45" s="242"/>
      <c r="D45" s="242"/>
      <c r="E45" s="242"/>
      <c r="F45" s="242"/>
      <c r="G45" s="242"/>
      <c r="H45" s="242"/>
      <c r="I45" s="242"/>
      <c r="J45" s="242"/>
      <c r="K45" s="242"/>
      <c r="L45" s="242"/>
      <c r="M45" s="10"/>
    </row>
    <row r="46" spans="1:18" ht="12" hidden="1" customHeight="1" thickBot="1" x14ac:dyDescent="0.35">
      <c r="A46" s="9"/>
      <c r="B46" s="242"/>
      <c r="C46" s="242"/>
      <c r="D46" s="242"/>
      <c r="E46" s="242"/>
      <c r="F46" s="242"/>
      <c r="G46" s="242"/>
      <c r="H46" s="242"/>
      <c r="I46" s="242"/>
      <c r="J46" s="242"/>
      <c r="K46" s="242"/>
      <c r="L46" s="242"/>
      <c r="M46" s="10"/>
    </row>
    <row r="47" spans="1:18" ht="16.5" hidden="1" customHeight="1" x14ac:dyDescent="0.3">
      <c r="A47" s="9"/>
      <c r="B47" s="37"/>
      <c r="C47" s="38"/>
      <c r="D47" s="38"/>
      <c r="E47" s="38"/>
      <c r="F47" s="38"/>
      <c r="G47" s="38"/>
      <c r="H47" s="38"/>
      <c r="I47" s="38"/>
      <c r="J47" s="38"/>
      <c r="K47" s="38"/>
      <c r="L47" s="39"/>
      <c r="M47" s="10"/>
      <c r="O47" s="14"/>
    </row>
    <row r="48" spans="1:18" ht="16.5" hidden="1" customHeight="1" thickBot="1" x14ac:dyDescent="0.35">
      <c r="A48" s="9"/>
      <c r="B48" s="40"/>
      <c r="C48" s="41"/>
      <c r="D48" s="41"/>
      <c r="E48" s="41"/>
      <c r="F48" s="41"/>
      <c r="G48" s="41"/>
      <c r="H48" s="41"/>
      <c r="I48" s="41"/>
      <c r="J48" s="41"/>
      <c r="K48" s="41"/>
      <c r="L48" s="42"/>
      <c r="M48" s="10"/>
      <c r="O48" s="14"/>
    </row>
    <row r="49" spans="1:15" ht="16.5" hidden="1" customHeight="1" x14ac:dyDescent="0.3">
      <c r="A49" s="9"/>
      <c r="B49" s="9"/>
      <c r="C49" s="10"/>
      <c r="D49" s="10"/>
      <c r="E49" s="10"/>
      <c r="F49" s="10"/>
      <c r="G49" s="10"/>
      <c r="H49" s="10"/>
      <c r="I49" s="10"/>
      <c r="J49" s="10"/>
      <c r="K49" s="10"/>
      <c r="L49" s="10"/>
      <c r="M49" s="10"/>
    </row>
    <row r="50" spans="1:15" ht="16.5" customHeight="1" x14ac:dyDescent="0.3">
      <c r="A50" s="9"/>
      <c r="B50" s="9" t="s">
        <v>382</v>
      </c>
      <c r="C50" s="10"/>
      <c r="D50" s="10"/>
      <c r="E50" s="10"/>
      <c r="F50" s="10"/>
      <c r="G50" s="9" t="s">
        <v>296</v>
      </c>
      <c r="H50" s="10"/>
      <c r="I50" s="10"/>
      <c r="J50" s="10"/>
      <c r="K50" s="10"/>
      <c r="L50" s="10"/>
      <c r="M50" s="10"/>
    </row>
    <row r="51" spans="1:15" ht="16.5" customHeight="1" x14ac:dyDescent="0.3">
      <c r="A51" s="9"/>
      <c r="B51" s="196" t="str">
        <f>IF(Datensatz!AE2=TRUE,"j","")</f>
        <v/>
      </c>
      <c r="C51" s="10" t="s">
        <v>27</v>
      </c>
      <c r="D51" s="196" t="str">
        <f>IF(Datensatz!AJ2=TRUE,"j","")</f>
        <v/>
      </c>
      <c r="E51" s="10" t="s">
        <v>31</v>
      </c>
      <c r="F51" s="10"/>
      <c r="G51" s="197"/>
      <c r="H51" s="10" t="s">
        <v>27</v>
      </c>
      <c r="I51" s="197"/>
      <c r="J51" s="10" t="s">
        <v>31</v>
      </c>
      <c r="K51" s="10"/>
      <c r="L51" s="10"/>
      <c r="M51" s="10"/>
      <c r="N51" s="1" t="s">
        <v>57</v>
      </c>
    </row>
    <row r="52" spans="1:15" ht="16.5" customHeight="1" x14ac:dyDescent="0.3">
      <c r="A52" s="9"/>
      <c r="B52" s="196" t="str">
        <f>IF(Datensatz!AF2=TRUE,"j","")</f>
        <v/>
      </c>
      <c r="C52" s="10" t="s">
        <v>4</v>
      </c>
      <c r="D52" s="196" t="str">
        <f>IF(Datensatz!AK2=TRUE,"j","")</f>
        <v/>
      </c>
      <c r="E52" s="10" t="s">
        <v>32</v>
      </c>
      <c r="F52" s="10"/>
      <c r="G52" s="197"/>
      <c r="H52" s="10" t="s">
        <v>4</v>
      </c>
      <c r="I52" s="197"/>
      <c r="J52" s="10" t="s">
        <v>32</v>
      </c>
      <c r="K52" s="10"/>
      <c r="L52" s="10"/>
      <c r="M52" s="10"/>
      <c r="O52" s="85" t="s">
        <v>58</v>
      </c>
    </row>
    <row r="53" spans="1:15" ht="16.5" customHeight="1" x14ac:dyDescent="0.3">
      <c r="A53" s="9"/>
      <c r="B53" s="196" t="str">
        <f>IF(Datensatz!AG2=TRUE,"j","")</f>
        <v/>
      </c>
      <c r="C53" s="10" t="s">
        <v>28</v>
      </c>
      <c r="D53" s="196" t="str">
        <f>IF(Datensatz!AL2=TRUE,"j","")</f>
        <v/>
      </c>
      <c r="E53" s="10" t="s">
        <v>34</v>
      </c>
      <c r="F53" s="10"/>
      <c r="G53" s="197"/>
      <c r="H53" s="10" t="s">
        <v>28</v>
      </c>
      <c r="I53" s="197"/>
      <c r="J53" s="10" t="s">
        <v>34</v>
      </c>
      <c r="K53" s="10"/>
      <c r="L53" s="10"/>
      <c r="M53" s="10"/>
      <c r="O53" s="69" t="s">
        <v>59</v>
      </c>
    </row>
    <row r="54" spans="1:15" ht="16.5" customHeight="1" x14ac:dyDescent="0.3">
      <c r="A54" s="9"/>
      <c r="B54" s="196" t="str">
        <f>IF(Datensatz!AH2=TRUE,"j","")</f>
        <v/>
      </c>
      <c r="C54" s="10" t="s">
        <v>29</v>
      </c>
      <c r="D54" s="196" t="str">
        <f>IF(Datensatz!AM2=TRUE,"j","")</f>
        <v/>
      </c>
      <c r="E54" s="10" t="s">
        <v>33</v>
      </c>
      <c r="F54" s="10"/>
      <c r="G54" s="197"/>
      <c r="H54" s="10" t="s">
        <v>29</v>
      </c>
      <c r="I54" s="197"/>
      <c r="J54" s="10" t="s">
        <v>33</v>
      </c>
      <c r="K54" s="10"/>
      <c r="L54" s="10"/>
      <c r="M54" s="10"/>
    </row>
    <row r="55" spans="1:15" ht="16.5" customHeight="1" x14ac:dyDescent="0.3">
      <c r="A55" s="9"/>
      <c r="B55" s="196" t="str">
        <f>IF(Datensatz!AI2=TRUE,"j","")</f>
        <v/>
      </c>
      <c r="C55" s="10" t="s">
        <v>30</v>
      </c>
      <c r="D55" s="196" t="str">
        <f>IF(Datensatz!AN2=TRUE,"j","")</f>
        <v/>
      </c>
      <c r="E55" s="10" t="s">
        <v>35</v>
      </c>
      <c r="F55" s="10"/>
      <c r="G55" s="197"/>
      <c r="H55" s="10" t="s">
        <v>30</v>
      </c>
      <c r="I55" s="197"/>
      <c r="J55" s="10" t="s">
        <v>35</v>
      </c>
      <c r="K55" s="10"/>
      <c r="L55" s="10"/>
      <c r="M55" s="10"/>
    </row>
    <row r="56" spans="1:15" ht="16.5" customHeight="1" x14ac:dyDescent="0.3">
      <c r="A56" s="9"/>
      <c r="B56" s="9"/>
      <c r="C56" s="9"/>
      <c r="D56" s="9"/>
      <c r="E56" s="9"/>
      <c r="F56" s="9"/>
      <c r="G56" s="9"/>
      <c r="H56" s="9"/>
      <c r="I56" s="10"/>
      <c r="J56" s="10"/>
      <c r="K56" s="10"/>
      <c r="L56" s="10"/>
      <c r="M56" s="10"/>
    </row>
    <row r="57" spans="1:15" ht="28.5" hidden="1" customHeight="1" thickBot="1" x14ac:dyDescent="0.35">
      <c r="A57" s="9"/>
      <c r="B57" s="242" t="s">
        <v>7</v>
      </c>
      <c r="C57" s="242"/>
      <c r="D57" s="242"/>
      <c r="E57" s="242"/>
      <c r="F57" s="242"/>
      <c r="G57" s="242"/>
      <c r="H57" s="242"/>
      <c r="I57" s="242"/>
      <c r="J57" s="242"/>
      <c r="K57" s="242"/>
      <c r="L57" s="242"/>
      <c r="M57" s="10"/>
    </row>
    <row r="58" spans="1:15" ht="32.25" hidden="1" customHeight="1" thickBot="1" x14ac:dyDescent="0.35">
      <c r="A58" s="9"/>
      <c r="B58" s="44"/>
      <c r="C58" s="43"/>
      <c r="D58" s="43"/>
      <c r="E58" s="43"/>
      <c r="F58" s="43"/>
      <c r="G58" s="43"/>
      <c r="H58" s="43"/>
      <c r="I58" s="45"/>
      <c r="J58" s="45"/>
      <c r="K58" s="45"/>
      <c r="L58" s="46"/>
      <c r="M58" s="10"/>
      <c r="N58" s="16"/>
      <c r="O58" s="17"/>
    </row>
    <row r="59" spans="1:15" ht="16.5" hidden="1" customHeight="1" x14ac:dyDescent="0.3">
      <c r="A59" s="9"/>
      <c r="B59" s="15"/>
      <c r="C59" s="15"/>
      <c r="D59" s="15"/>
      <c r="E59" s="15"/>
      <c r="F59" s="15"/>
      <c r="G59" s="15"/>
      <c r="H59" s="15"/>
      <c r="I59" s="10"/>
      <c r="J59" s="10"/>
      <c r="K59" s="10"/>
      <c r="L59" s="10"/>
      <c r="M59" s="10"/>
      <c r="O59" s="14"/>
    </row>
    <row r="60" spans="1:15" ht="68.25" hidden="1" customHeight="1" thickBot="1" x14ac:dyDescent="0.35">
      <c r="A60" s="9"/>
      <c r="B60" s="242" t="s">
        <v>8</v>
      </c>
      <c r="C60" s="242"/>
      <c r="D60" s="242"/>
      <c r="E60" s="242"/>
      <c r="F60" s="242"/>
      <c r="G60" s="242"/>
      <c r="H60" s="242"/>
      <c r="I60" s="242"/>
      <c r="J60" s="242"/>
      <c r="K60" s="242"/>
      <c r="L60" s="242"/>
      <c r="M60" s="10"/>
    </row>
    <row r="61" spans="1:15" ht="32.25" hidden="1" customHeight="1" thickBot="1" x14ac:dyDescent="0.35">
      <c r="A61" s="9"/>
      <c r="B61" s="44"/>
      <c r="C61" s="43"/>
      <c r="D61" s="43"/>
      <c r="E61" s="43"/>
      <c r="F61" s="43"/>
      <c r="G61" s="43"/>
      <c r="H61" s="43"/>
      <c r="I61" s="45"/>
      <c r="J61" s="45"/>
      <c r="K61" s="45"/>
      <c r="L61" s="46"/>
      <c r="M61" s="10"/>
      <c r="N61" s="16"/>
      <c r="O61" s="17"/>
    </row>
    <row r="62" spans="1:15" ht="16.5" hidden="1" customHeight="1" x14ac:dyDescent="0.3">
      <c r="A62" s="9"/>
      <c r="B62" s="15"/>
      <c r="C62" s="15"/>
      <c r="D62" s="15"/>
      <c r="E62" s="15"/>
      <c r="F62" s="15"/>
      <c r="G62" s="15"/>
      <c r="H62" s="15"/>
      <c r="I62" s="10"/>
      <c r="J62" s="10"/>
      <c r="K62" s="10"/>
      <c r="L62" s="10"/>
      <c r="M62" s="10"/>
      <c r="O62" s="14"/>
    </row>
    <row r="63" spans="1:15" ht="32.25" hidden="1" customHeight="1" thickBot="1" x14ac:dyDescent="0.35">
      <c r="A63" s="9"/>
      <c r="B63" s="242" t="s">
        <v>9</v>
      </c>
      <c r="C63" s="242"/>
      <c r="D63" s="242"/>
      <c r="E63" s="242"/>
      <c r="F63" s="242"/>
      <c r="G63" s="242"/>
      <c r="H63" s="242"/>
      <c r="I63" s="242"/>
      <c r="J63" s="242"/>
      <c r="K63" s="242"/>
      <c r="L63" s="242"/>
      <c r="M63" s="10"/>
    </row>
    <row r="64" spans="1:15" ht="32.25" hidden="1" customHeight="1" thickBot="1" x14ac:dyDescent="0.35">
      <c r="A64" s="9"/>
      <c r="B64" s="44"/>
      <c r="C64" s="43"/>
      <c r="D64" s="43"/>
      <c r="E64" s="43"/>
      <c r="F64" s="43"/>
      <c r="G64" s="43"/>
      <c r="H64" s="43"/>
      <c r="I64" s="45"/>
      <c r="J64" s="45"/>
      <c r="K64" s="45"/>
      <c r="L64" s="46"/>
      <c r="M64" s="10"/>
      <c r="N64" s="16"/>
      <c r="O64" s="17"/>
    </row>
    <row r="65" spans="1:21" ht="16.5" hidden="1" customHeight="1" x14ac:dyDescent="0.3">
      <c r="A65" s="9"/>
      <c r="B65" s="15"/>
      <c r="C65" s="15"/>
      <c r="D65" s="15"/>
      <c r="E65" s="15"/>
      <c r="F65" s="15"/>
      <c r="G65" s="15"/>
      <c r="H65" s="15"/>
      <c r="I65" s="10"/>
      <c r="J65" s="10"/>
      <c r="K65" s="10"/>
      <c r="L65" s="10"/>
      <c r="M65" s="10"/>
    </row>
    <row r="66" spans="1:21" ht="41.25" hidden="1" customHeight="1" thickBot="1" x14ac:dyDescent="0.35">
      <c r="A66" s="9"/>
      <c r="B66" s="242" t="s">
        <v>10</v>
      </c>
      <c r="C66" s="242"/>
      <c r="D66" s="242"/>
      <c r="E66" s="242"/>
      <c r="F66" s="242"/>
      <c r="G66" s="242"/>
      <c r="H66" s="242"/>
      <c r="I66" s="242"/>
      <c r="J66" s="242"/>
      <c r="K66" s="242"/>
      <c r="L66" s="242"/>
      <c r="M66" s="10"/>
    </row>
    <row r="67" spans="1:21" ht="32.25" hidden="1" customHeight="1" thickBot="1" x14ac:dyDescent="0.35">
      <c r="A67" s="9"/>
      <c r="B67" s="44"/>
      <c r="C67" s="43"/>
      <c r="D67" s="43"/>
      <c r="E67" s="43"/>
      <c r="F67" s="43"/>
      <c r="G67" s="43"/>
      <c r="H67" s="43"/>
      <c r="I67" s="45"/>
      <c r="J67" s="45"/>
      <c r="K67" s="45"/>
      <c r="L67" s="46"/>
      <c r="M67" s="10"/>
      <c r="N67" s="16"/>
      <c r="O67" s="17"/>
    </row>
    <row r="68" spans="1:21" ht="16.5" hidden="1" customHeight="1" x14ac:dyDescent="0.3">
      <c r="A68" s="9"/>
      <c r="B68" s="15"/>
      <c r="C68" s="15"/>
      <c r="D68" s="15"/>
      <c r="E68" s="15"/>
      <c r="F68" s="15"/>
      <c r="G68" s="15"/>
      <c r="H68" s="15"/>
      <c r="I68" s="10"/>
      <c r="J68" s="10"/>
      <c r="K68" s="10"/>
      <c r="L68" s="10"/>
      <c r="M68" s="10"/>
    </row>
    <row r="69" spans="1:21" ht="16.5" hidden="1" customHeight="1" thickBot="1" x14ac:dyDescent="0.35">
      <c r="A69" s="9"/>
      <c r="B69" s="15" t="s">
        <v>11</v>
      </c>
      <c r="C69" s="15"/>
      <c r="D69" s="15"/>
      <c r="E69" s="15"/>
      <c r="F69" s="15"/>
      <c r="G69" s="15"/>
      <c r="H69" s="15"/>
      <c r="I69" s="10"/>
      <c r="J69" s="10"/>
      <c r="K69" s="10"/>
      <c r="L69" s="10"/>
      <c r="M69" s="10"/>
    </row>
    <row r="70" spans="1:21" ht="32.25" hidden="1" customHeight="1" thickBot="1" x14ac:dyDescent="0.35">
      <c r="A70" s="9"/>
      <c r="B70" s="44"/>
      <c r="C70" s="43"/>
      <c r="D70" s="43"/>
      <c r="E70" s="43"/>
      <c r="F70" s="43"/>
      <c r="G70" s="43"/>
      <c r="H70" s="43"/>
      <c r="I70" s="45"/>
      <c r="J70" s="45"/>
      <c r="K70" s="45"/>
      <c r="L70" s="46"/>
      <c r="M70" s="10"/>
      <c r="N70" s="16"/>
      <c r="O70" s="17"/>
    </row>
    <row r="71" spans="1:21" ht="16.5" hidden="1" customHeight="1" x14ac:dyDescent="0.3">
      <c r="A71" s="9"/>
      <c r="B71" s="15"/>
      <c r="C71" s="15"/>
      <c r="D71" s="15"/>
      <c r="E71" s="15"/>
      <c r="F71" s="15"/>
      <c r="G71" s="15"/>
      <c r="H71" s="15"/>
      <c r="I71" s="10"/>
      <c r="J71" s="10"/>
      <c r="K71" s="10"/>
      <c r="L71" s="10"/>
      <c r="M71" s="10"/>
    </row>
    <row r="72" spans="1:21" ht="16.5" hidden="1" customHeight="1" thickBot="1" x14ac:dyDescent="0.35">
      <c r="A72" s="9"/>
      <c r="B72" s="15" t="s">
        <v>14</v>
      </c>
      <c r="C72" s="15"/>
      <c r="D72" s="15"/>
      <c r="E72" s="15"/>
      <c r="F72" s="15"/>
      <c r="G72" s="15"/>
      <c r="H72" s="15"/>
      <c r="I72" s="10"/>
      <c r="J72" s="10"/>
      <c r="K72" s="10"/>
      <c r="L72" s="10"/>
      <c r="M72" s="10"/>
    </row>
    <row r="73" spans="1:21" ht="32.25" hidden="1" customHeight="1" thickBot="1" x14ac:dyDescent="0.35">
      <c r="A73" s="9"/>
      <c r="B73" s="44"/>
      <c r="C73" s="43"/>
      <c r="D73" s="43"/>
      <c r="E73" s="43"/>
      <c r="F73" s="43"/>
      <c r="G73" s="43"/>
      <c r="H73" s="43"/>
      <c r="I73" s="45"/>
      <c r="J73" s="45"/>
      <c r="K73" s="45"/>
      <c r="L73" s="46"/>
      <c r="M73" s="10"/>
      <c r="N73" s="16"/>
      <c r="O73" s="17"/>
    </row>
    <row r="74" spans="1:21" ht="16.5" hidden="1" customHeight="1" x14ac:dyDescent="0.3">
      <c r="A74" s="9"/>
      <c r="B74" s="15"/>
      <c r="C74" s="15"/>
      <c r="D74" s="15"/>
      <c r="E74" s="15"/>
      <c r="F74" s="15"/>
      <c r="G74" s="15"/>
      <c r="H74" s="15"/>
      <c r="I74" s="10"/>
      <c r="J74" s="10"/>
      <c r="K74" s="10"/>
      <c r="L74" s="10"/>
      <c r="M74" s="10"/>
    </row>
    <row r="75" spans="1:21" ht="41.25" hidden="1" customHeight="1" thickBot="1" x14ac:dyDescent="0.35">
      <c r="A75" s="9"/>
      <c r="B75" s="242" t="s">
        <v>12</v>
      </c>
      <c r="C75" s="242"/>
      <c r="D75" s="242"/>
      <c r="E75" s="242"/>
      <c r="F75" s="242"/>
      <c r="G75" s="242"/>
      <c r="H75" s="242"/>
      <c r="I75" s="242"/>
      <c r="J75" s="242"/>
      <c r="K75" s="242"/>
      <c r="L75" s="242"/>
      <c r="M75" s="10"/>
    </row>
    <row r="76" spans="1:21" ht="32.25" hidden="1" customHeight="1" thickBot="1" x14ac:dyDescent="0.35">
      <c r="A76" s="9"/>
      <c r="B76" s="44"/>
      <c r="C76" s="43"/>
      <c r="D76" s="43"/>
      <c r="E76" s="43"/>
      <c r="F76" s="43"/>
      <c r="G76" s="43"/>
      <c r="H76" s="43"/>
      <c r="I76" s="45"/>
      <c r="J76" s="45"/>
      <c r="K76" s="45"/>
      <c r="L76" s="46"/>
      <c r="M76" s="10"/>
      <c r="N76" s="16"/>
      <c r="O76" s="17"/>
    </row>
    <row r="77" spans="1:21" ht="16.5" hidden="1" customHeight="1" x14ac:dyDescent="0.3">
      <c r="A77" s="9"/>
      <c r="B77" s="15"/>
      <c r="C77" s="15"/>
      <c r="D77" s="15"/>
      <c r="E77" s="15"/>
      <c r="F77" s="15"/>
      <c r="G77" s="15"/>
      <c r="H77" s="15"/>
      <c r="I77" s="10"/>
      <c r="J77" s="10"/>
      <c r="K77" s="10"/>
      <c r="L77" s="10"/>
      <c r="M77" s="10"/>
    </row>
    <row r="78" spans="1:21" ht="42" customHeight="1" thickBot="1" x14ac:dyDescent="0.35">
      <c r="A78" s="9"/>
      <c r="B78" s="270" t="s">
        <v>13</v>
      </c>
      <c r="C78" s="270"/>
      <c r="D78" s="270"/>
      <c r="E78" s="270"/>
      <c r="F78" s="270"/>
      <c r="G78" s="270"/>
      <c r="H78" s="270"/>
      <c r="I78" s="112"/>
      <c r="J78" s="112"/>
      <c r="K78" s="112"/>
      <c r="L78" s="112"/>
      <c r="M78" s="10"/>
    </row>
    <row r="79" spans="1:21" ht="66" customHeight="1" thickBot="1" x14ac:dyDescent="0.35">
      <c r="A79" s="9"/>
      <c r="B79" s="269">
        <f>Gesuch!B75</f>
        <v>0</v>
      </c>
      <c r="C79" s="269"/>
      <c r="D79" s="269"/>
      <c r="E79" s="269"/>
      <c r="F79" s="269"/>
      <c r="G79" s="269"/>
      <c r="H79" s="269"/>
      <c r="I79" s="110"/>
      <c r="J79" s="244"/>
      <c r="K79" s="245"/>
      <c r="L79" s="246"/>
      <c r="M79" s="10"/>
      <c r="N79" s="16" t="s">
        <v>26</v>
      </c>
      <c r="O79" s="69" t="s">
        <v>55</v>
      </c>
      <c r="S79" s="1">
        <f>LEN(B79)</f>
        <v>1</v>
      </c>
      <c r="U79" s="286"/>
    </row>
    <row r="80" spans="1:21" ht="16.5" customHeight="1" x14ac:dyDescent="0.3">
      <c r="A80" s="9"/>
      <c r="B80" s="15"/>
      <c r="C80" s="15"/>
      <c r="D80" s="15"/>
      <c r="E80" s="15"/>
      <c r="F80" s="15"/>
      <c r="G80" s="15"/>
      <c r="H80" s="15"/>
      <c r="I80" s="10"/>
      <c r="J80" s="10"/>
      <c r="K80" s="10"/>
      <c r="L80" s="10"/>
      <c r="M80" s="10"/>
      <c r="O80" s="69" t="s">
        <v>56</v>
      </c>
    </row>
    <row r="81" spans="1:21" ht="42" customHeight="1" thickBot="1" x14ac:dyDescent="0.35">
      <c r="A81" s="9"/>
      <c r="B81" s="270" t="s">
        <v>297</v>
      </c>
      <c r="C81" s="270"/>
      <c r="D81" s="270"/>
      <c r="E81" s="270"/>
      <c r="F81" s="270"/>
      <c r="G81" s="270"/>
      <c r="H81" s="270"/>
      <c r="I81" s="112"/>
      <c r="J81" s="112"/>
      <c r="K81" s="112"/>
      <c r="L81" s="112"/>
      <c r="M81" s="10"/>
      <c r="S81" s="16"/>
      <c r="T81" s="83" t="s">
        <v>205</v>
      </c>
    </row>
    <row r="82" spans="1:21" ht="66" customHeight="1" thickBot="1" x14ac:dyDescent="0.35">
      <c r="A82" s="9"/>
      <c r="B82" s="269">
        <f>Gesuch!B78</f>
        <v>0</v>
      </c>
      <c r="C82" s="269"/>
      <c r="D82" s="269"/>
      <c r="E82" s="269"/>
      <c r="F82" s="269"/>
      <c r="G82" s="269"/>
      <c r="H82" s="269"/>
      <c r="I82" s="110"/>
      <c r="J82" s="244"/>
      <c r="K82" s="245"/>
      <c r="L82" s="246"/>
      <c r="M82" s="10"/>
      <c r="N82" s="16" t="s">
        <v>26</v>
      </c>
      <c r="O82" s="69" t="s">
        <v>55</v>
      </c>
    </row>
    <row r="83" spans="1:21" ht="16.5" customHeight="1" x14ac:dyDescent="0.3">
      <c r="A83" s="9"/>
      <c r="B83" s="15"/>
      <c r="C83" s="15"/>
      <c r="D83" s="15"/>
      <c r="E83" s="15"/>
      <c r="F83" s="15"/>
      <c r="G83" s="15"/>
      <c r="H83" s="15"/>
      <c r="I83" s="10"/>
      <c r="J83" s="10"/>
      <c r="K83" s="10"/>
      <c r="L83" s="10"/>
      <c r="M83" s="10"/>
      <c r="O83" s="69" t="s">
        <v>56</v>
      </c>
    </row>
    <row r="84" spans="1:21" ht="27.9" customHeight="1" thickBot="1" x14ac:dyDescent="0.35">
      <c r="A84" s="9"/>
      <c r="B84" s="270" t="s">
        <v>69</v>
      </c>
      <c r="C84" s="270"/>
      <c r="D84" s="270"/>
      <c r="E84" s="270"/>
      <c r="F84" s="270"/>
      <c r="G84" s="270"/>
      <c r="H84" s="270"/>
      <c r="I84" s="112"/>
      <c r="J84" s="112"/>
      <c r="K84" s="112"/>
      <c r="L84" s="112"/>
      <c r="M84" s="10"/>
      <c r="N84" s="1" t="s">
        <v>71</v>
      </c>
      <c r="O84" s="243" t="s">
        <v>70</v>
      </c>
      <c r="P84" s="243"/>
    </row>
    <row r="85" spans="1:21" ht="16.5" customHeight="1" thickBot="1" x14ac:dyDescent="0.35">
      <c r="A85" s="9"/>
      <c r="B85" s="274">
        <f>Gesuch!B81</f>
        <v>0</v>
      </c>
      <c r="C85" s="275"/>
      <c r="D85" s="111"/>
      <c r="E85" s="228" t="s">
        <v>437</v>
      </c>
      <c r="F85" s="247" t="s">
        <v>436</v>
      </c>
      <c r="G85" s="247"/>
      <c r="H85" s="111"/>
      <c r="I85" s="10"/>
      <c r="J85" s="10"/>
      <c r="K85" s="10"/>
      <c r="L85" s="154"/>
      <c r="M85" s="10"/>
      <c r="N85" s="1" t="s">
        <v>36</v>
      </c>
      <c r="O85" s="243"/>
      <c r="P85" s="243"/>
      <c r="U85" s="286"/>
    </row>
    <row r="86" spans="1:21" ht="16.5" customHeight="1" x14ac:dyDescent="0.3">
      <c r="A86" s="9"/>
      <c r="B86" s="9"/>
      <c r="C86" s="9"/>
      <c r="D86" s="111"/>
      <c r="E86" s="111"/>
      <c r="F86" s="111"/>
      <c r="G86" s="111"/>
      <c r="H86" s="111"/>
      <c r="I86" s="10"/>
      <c r="J86" s="10"/>
      <c r="K86" s="10"/>
      <c r="L86" s="10"/>
      <c r="M86" s="10"/>
      <c r="O86" s="166"/>
      <c r="P86" s="166"/>
    </row>
    <row r="87" spans="1:21" ht="16.5" customHeight="1" thickBot="1" x14ac:dyDescent="0.35">
      <c r="A87" s="9"/>
      <c r="B87" s="15" t="s">
        <v>383</v>
      </c>
      <c r="C87" s="9"/>
      <c r="D87" s="111"/>
      <c r="E87" s="111"/>
      <c r="F87" s="111"/>
      <c r="G87" s="111"/>
      <c r="H87" s="111"/>
      <c r="I87" s="10"/>
      <c r="J87" s="10"/>
      <c r="K87" s="10"/>
      <c r="L87" s="10"/>
      <c r="M87" s="10"/>
      <c r="O87" s="166"/>
      <c r="P87" s="166"/>
    </row>
    <row r="88" spans="1:21" ht="16.5" customHeight="1" thickBot="1" x14ac:dyDescent="0.35">
      <c r="A88" s="9"/>
      <c r="B88" s="165" t="s">
        <v>385</v>
      </c>
      <c r="C88" s="9"/>
      <c r="D88" s="111"/>
      <c r="E88" s="111"/>
      <c r="F88" s="272">
        <f>Gesuch!E84</f>
        <v>0</v>
      </c>
      <c r="G88" s="272"/>
      <c r="H88" s="216" t="s">
        <v>441</v>
      </c>
      <c r="I88" s="10"/>
      <c r="J88" s="10"/>
      <c r="K88" s="10"/>
      <c r="L88" s="154"/>
      <c r="M88" s="10"/>
      <c r="O88" s="166"/>
      <c r="P88" s="166"/>
    </row>
    <row r="89" spans="1:21" ht="16.5" customHeight="1" thickBot="1" x14ac:dyDescent="0.35">
      <c r="A89" s="9"/>
      <c r="B89" s="165" t="s">
        <v>386</v>
      </c>
      <c r="C89" s="9"/>
      <c r="D89" s="111"/>
      <c r="E89" s="111"/>
      <c r="F89" s="272">
        <f>Gesuch!E85</f>
        <v>0</v>
      </c>
      <c r="G89" s="272"/>
      <c r="H89" s="216" t="s">
        <v>441</v>
      </c>
      <c r="I89" s="10"/>
      <c r="J89" s="10"/>
      <c r="K89" s="10"/>
      <c r="L89" s="154"/>
      <c r="M89" s="10"/>
      <c r="O89" s="166"/>
      <c r="P89" s="166"/>
    </row>
    <row r="90" spans="1:21" ht="16.5" customHeight="1" x14ac:dyDescent="0.3">
      <c r="A90" s="9"/>
      <c r="B90" s="15"/>
      <c r="C90" s="15"/>
      <c r="D90" s="15"/>
      <c r="E90" s="15"/>
      <c r="F90" s="15"/>
      <c r="G90" s="15"/>
      <c r="H90" s="15"/>
      <c r="I90" s="10"/>
      <c r="J90" s="10"/>
      <c r="K90" s="10"/>
      <c r="L90" s="10"/>
      <c r="M90" s="10"/>
    </row>
    <row r="92" spans="1:21" ht="16.5" customHeight="1" x14ac:dyDescent="0.3">
      <c r="A92" s="66" t="s">
        <v>155</v>
      </c>
      <c r="B92" s="22"/>
      <c r="C92" s="22"/>
      <c r="D92" s="22"/>
      <c r="E92" s="22"/>
      <c r="F92" s="22"/>
      <c r="G92" s="22"/>
      <c r="H92" s="22"/>
      <c r="I92" s="22"/>
      <c r="J92" s="22"/>
      <c r="K92" s="22"/>
      <c r="L92" s="22"/>
      <c r="M92" s="22"/>
      <c r="N92" s="1" t="s">
        <v>156</v>
      </c>
      <c r="O92" s="67" t="s">
        <v>157</v>
      </c>
      <c r="P92" s="1" t="s">
        <v>158</v>
      </c>
      <c r="Q92" s="47" t="s">
        <v>159</v>
      </c>
      <c r="R92" s="1" t="s">
        <v>160</v>
      </c>
    </row>
    <row r="93" spans="1:21" ht="13.8" x14ac:dyDescent="0.3">
      <c r="A93" s="21"/>
      <c r="B93" s="256"/>
      <c r="C93" s="256"/>
      <c r="D93" s="256"/>
      <c r="E93" s="256"/>
      <c r="F93" s="256"/>
      <c r="G93" s="256"/>
      <c r="H93" s="256"/>
      <c r="I93" s="256"/>
      <c r="J93" s="256"/>
      <c r="K93" s="256"/>
      <c r="L93" s="256"/>
      <c r="M93" s="22"/>
      <c r="N93" s="1" t="s">
        <v>67</v>
      </c>
    </row>
    <row r="94" spans="1:21" ht="13.8" x14ac:dyDescent="0.3">
      <c r="A94" s="21" t="s">
        <v>161</v>
      </c>
      <c r="B94" s="21"/>
      <c r="C94" s="22"/>
      <c r="D94" s="22"/>
      <c r="E94" s="22"/>
      <c r="F94" s="22"/>
      <c r="G94" s="22"/>
      <c r="H94" s="22"/>
      <c r="I94" s="22"/>
      <c r="J94" s="22"/>
      <c r="K94" s="22"/>
      <c r="L94" s="22"/>
      <c r="M94" s="22"/>
      <c r="O94" s="67"/>
    </row>
    <row r="95" spans="1:21" ht="16.5" customHeight="1" x14ac:dyDescent="0.3">
      <c r="A95" s="21"/>
      <c r="B95" s="21" t="s">
        <v>162</v>
      </c>
      <c r="C95" s="22"/>
      <c r="D95" s="22"/>
      <c r="E95" s="163">
        <f>Datensatz!AT2</f>
        <v>0</v>
      </c>
      <c r="F95" s="22"/>
      <c r="G95" s="22"/>
      <c r="H95" s="280" t="s">
        <v>387</v>
      </c>
      <c r="I95" s="280"/>
      <c r="J95" s="144">
        <v>1</v>
      </c>
      <c r="K95" s="22"/>
      <c r="L95" s="117"/>
      <c r="M95" s="22"/>
      <c r="N95" s="69"/>
      <c r="O95" s="68" t="s">
        <v>111</v>
      </c>
      <c r="P95" s="69" t="s">
        <v>163</v>
      </c>
      <c r="Q95" s="47" t="s">
        <v>164</v>
      </c>
      <c r="R95" s="1" t="s">
        <v>165</v>
      </c>
    </row>
    <row r="96" spans="1:21" ht="16.5" customHeight="1" x14ac:dyDescent="0.3">
      <c r="A96" s="21"/>
      <c r="B96" s="22"/>
      <c r="C96" s="22"/>
      <c r="D96" s="22"/>
      <c r="E96" s="22"/>
      <c r="F96" s="22"/>
      <c r="G96" s="22"/>
      <c r="H96" s="22"/>
      <c r="I96" s="22"/>
      <c r="J96" s="22"/>
      <c r="K96" s="22"/>
      <c r="L96" s="22"/>
      <c r="M96" s="22"/>
      <c r="N96" s="69"/>
      <c r="O96" s="68"/>
      <c r="P96" s="70"/>
      <c r="Q96" s="47"/>
    </row>
    <row r="97" spans="1:18" ht="16.5" customHeight="1" thickBot="1" x14ac:dyDescent="0.35">
      <c r="A97" s="21"/>
      <c r="B97" s="21" t="s">
        <v>166</v>
      </c>
      <c r="C97" s="22"/>
      <c r="D97" s="22"/>
      <c r="E97" s="22"/>
      <c r="F97" s="22"/>
      <c r="G97" s="22"/>
      <c r="H97" s="22"/>
      <c r="I97" s="22"/>
      <c r="J97" s="22"/>
      <c r="K97" s="22"/>
      <c r="L97" s="22"/>
      <c r="M97" s="22"/>
      <c r="O97" s="67"/>
    </row>
    <row r="98" spans="1:18" ht="198.75" customHeight="1" thickBot="1" x14ac:dyDescent="0.35">
      <c r="A98" s="21"/>
      <c r="B98" s="271">
        <f>Gesuch!B95</f>
        <v>0</v>
      </c>
      <c r="C98" s="271"/>
      <c r="D98" s="271"/>
      <c r="E98" s="271"/>
      <c r="F98" s="271"/>
      <c r="G98" s="271"/>
      <c r="H98" s="271"/>
      <c r="I98" s="113"/>
      <c r="J98" s="244"/>
      <c r="K98" s="245"/>
      <c r="L98" s="246"/>
      <c r="M98" s="22"/>
      <c r="N98" s="1" t="s">
        <v>167</v>
      </c>
      <c r="O98" s="67"/>
      <c r="P98" s="1" t="s">
        <v>168</v>
      </c>
      <c r="Q98" s="47" t="s">
        <v>164</v>
      </c>
      <c r="R98" s="1" t="s">
        <v>169</v>
      </c>
    </row>
    <row r="99" spans="1:18" ht="16.5" customHeight="1" x14ac:dyDescent="0.3">
      <c r="A99" s="21"/>
      <c r="B99" s="22"/>
      <c r="C99" s="22"/>
      <c r="D99" s="22"/>
      <c r="E99" s="22"/>
      <c r="F99" s="22"/>
      <c r="G99" s="22"/>
      <c r="H99" s="22"/>
      <c r="I99" s="22"/>
      <c r="J99" s="22"/>
      <c r="K99" s="22"/>
      <c r="L99" s="22"/>
      <c r="M99" s="22"/>
      <c r="N99" s="14"/>
      <c r="O99" s="71"/>
    </row>
    <row r="100" spans="1:18" ht="16.5" customHeight="1" thickBot="1" x14ac:dyDescent="0.35">
      <c r="A100" s="21"/>
      <c r="B100" s="21" t="s">
        <v>170</v>
      </c>
      <c r="C100" s="22"/>
      <c r="D100" s="22"/>
      <c r="E100" s="22"/>
      <c r="F100" s="22"/>
      <c r="G100" s="22"/>
      <c r="H100" s="22"/>
      <c r="I100" s="22"/>
      <c r="J100" s="22"/>
      <c r="K100" s="22"/>
      <c r="L100" s="22"/>
      <c r="M100" s="22"/>
      <c r="O100" s="67"/>
    </row>
    <row r="101" spans="1:18" ht="198.75" customHeight="1" thickBot="1" x14ac:dyDescent="0.35">
      <c r="A101" s="21"/>
      <c r="B101" s="271">
        <f>Gesuch!B98</f>
        <v>0</v>
      </c>
      <c r="C101" s="271"/>
      <c r="D101" s="271"/>
      <c r="E101" s="271"/>
      <c r="F101" s="271"/>
      <c r="G101" s="271"/>
      <c r="H101" s="271"/>
      <c r="I101" s="113"/>
      <c r="J101" s="244"/>
      <c r="K101" s="245"/>
      <c r="L101" s="246"/>
      <c r="M101" s="22"/>
      <c r="N101" s="1" t="s">
        <v>167</v>
      </c>
      <c r="O101" s="67"/>
      <c r="P101" s="1" t="s">
        <v>168</v>
      </c>
      <c r="Q101" s="47" t="s">
        <v>164</v>
      </c>
      <c r="R101" s="1" t="s">
        <v>169</v>
      </c>
    </row>
    <row r="102" spans="1:18" ht="16.5" customHeight="1" x14ac:dyDescent="0.3">
      <c r="A102" s="21"/>
      <c r="B102" s="22"/>
      <c r="C102" s="22"/>
      <c r="D102" s="22"/>
      <c r="E102" s="22"/>
      <c r="F102" s="22"/>
      <c r="G102" s="22"/>
      <c r="H102" s="22"/>
      <c r="I102" s="22"/>
      <c r="J102" s="22"/>
      <c r="K102" s="22"/>
      <c r="L102" s="22"/>
      <c r="M102" s="22"/>
      <c r="N102" s="14"/>
      <c r="O102" s="71"/>
    </row>
    <row r="103" spans="1:18" ht="16.5" customHeight="1" thickBot="1" x14ac:dyDescent="0.35">
      <c r="A103" s="21" t="s">
        <v>171</v>
      </c>
      <c r="B103" s="21"/>
      <c r="C103" s="22"/>
      <c r="D103" s="22"/>
      <c r="E103" s="22"/>
      <c r="F103" s="22"/>
      <c r="G103" s="22"/>
      <c r="H103" s="22"/>
      <c r="I103" s="22"/>
      <c r="J103" s="22"/>
      <c r="K103" s="22"/>
      <c r="L103" s="22"/>
      <c r="M103" s="22"/>
      <c r="O103" s="67"/>
    </row>
    <row r="104" spans="1:18" ht="16.5" customHeight="1" thickBot="1" x14ac:dyDescent="0.35">
      <c r="A104" s="21"/>
      <c r="B104" s="22" t="s">
        <v>172</v>
      </c>
      <c r="C104" s="22"/>
      <c r="D104" s="22"/>
      <c r="E104" s="163">
        <f>Gesuch!E101</f>
        <v>0</v>
      </c>
      <c r="F104" s="22"/>
      <c r="G104" s="22"/>
      <c r="H104" s="22"/>
      <c r="I104" s="22"/>
      <c r="J104" s="152"/>
      <c r="K104" s="22"/>
      <c r="L104" s="22"/>
      <c r="M104" s="22"/>
      <c r="N104" s="1" t="s">
        <v>40</v>
      </c>
      <c r="O104" s="67"/>
      <c r="P104" s="1" t="s">
        <v>173</v>
      </c>
      <c r="Q104" s="47" t="s">
        <v>164</v>
      </c>
    </row>
    <row r="105" spans="1:18" ht="16.5" customHeight="1" thickBot="1" x14ac:dyDescent="0.35">
      <c r="A105" s="21"/>
      <c r="B105" s="22" t="s">
        <v>174</v>
      </c>
      <c r="C105" s="22"/>
      <c r="D105" s="22"/>
      <c r="E105" s="163">
        <f>Gesuch!E102</f>
        <v>0</v>
      </c>
      <c r="F105" s="22"/>
      <c r="G105" s="22"/>
      <c r="H105" s="22"/>
      <c r="I105" s="22"/>
      <c r="J105" s="152"/>
      <c r="K105" s="22"/>
      <c r="L105" s="22"/>
      <c r="M105" s="22"/>
      <c r="N105" s="1" t="s">
        <v>40</v>
      </c>
      <c r="O105" s="67"/>
      <c r="P105" s="1" t="s">
        <v>173</v>
      </c>
      <c r="Q105" s="47" t="s">
        <v>164</v>
      </c>
    </row>
    <row r="106" spans="1:18" ht="16.5" customHeight="1" x14ac:dyDescent="0.3">
      <c r="A106" s="21"/>
      <c r="B106" s="22" t="s">
        <v>175</v>
      </c>
      <c r="C106" s="22"/>
      <c r="D106" s="22"/>
      <c r="E106" s="163">
        <f>Datensatz!AY2</f>
        <v>0</v>
      </c>
      <c r="F106" s="22"/>
      <c r="G106" s="22"/>
      <c r="H106" s="22"/>
      <c r="I106" s="117"/>
      <c r="J106" s="140">
        <v>1</v>
      </c>
      <c r="K106" s="22"/>
      <c r="L106" s="22"/>
      <c r="M106" s="22"/>
      <c r="N106" s="69" t="s">
        <v>108</v>
      </c>
      <c r="O106" s="68" t="s">
        <v>118</v>
      </c>
      <c r="P106" s="1" t="s">
        <v>173</v>
      </c>
      <c r="Q106" s="47" t="s">
        <v>164</v>
      </c>
    </row>
    <row r="107" spans="1:18" ht="16.5" customHeight="1" x14ac:dyDescent="0.3">
      <c r="A107" s="21"/>
      <c r="B107" s="22" t="s">
        <v>176</v>
      </c>
      <c r="C107" s="22"/>
      <c r="D107" s="22"/>
      <c r="E107" s="276">
        <f>Datensatz!AZ2</f>
        <v>0</v>
      </c>
      <c r="F107" s="276"/>
      <c r="G107" s="276"/>
      <c r="H107" s="276"/>
      <c r="I107" s="117"/>
      <c r="J107" s="140">
        <v>1</v>
      </c>
      <c r="K107" s="22"/>
      <c r="L107" s="72"/>
      <c r="M107" s="22"/>
      <c r="N107" s="69" t="s">
        <v>108</v>
      </c>
      <c r="O107" s="68" t="s">
        <v>154</v>
      </c>
      <c r="P107" s="1" t="s">
        <v>177</v>
      </c>
      <c r="Q107" s="47"/>
    </row>
    <row r="108" spans="1:18" ht="16.5" customHeight="1" x14ac:dyDescent="0.3">
      <c r="A108" s="21"/>
      <c r="B108" s="22"/>
      <c r="C108" s="22"/>
      <c r="D108" s="22"/>
      <c r="E108" s="22"/>
      <c r="F108" s="22"/>
      <c r="G108" s="22"/>
      <c r="H108" s="22"/>
      <c r="I108" s="22"/>
      <c r="J108" s="22"/>
      <c r="K108" s="22"/>
      <c r="L108" s="22"/>
      <c r="M108" s="22"/>
      <c r="N108" s="1" t="e">
        <f>VLOOKUP(J107,Referenzen!A48:B67,2)</f>
        <v>#N/A</v>
      </c>
      <c r="O108" s="67"/>
    </row>
    <row r="109" spans="1:18" ht="16.5" customHeight="1" thickBot="1" x14ac:dyDescent="0.35">
      <c r="A109" s="21" t="s">
        <v>178</v>
      </c>
      <c r="B109" s="21"/>
      <c r="C109" s="22"/>
      <c r="D109" s="22"/>
      <c r="E109" s="22"/>
      <c r="F109" s="22"/>
      <c r="G109" s="22"/>
      <c r="H109" s="22"/>
      <c r="I109" s="22"/>
      <c r="J109" s="22"/>
      <c r="K109" s="22"/>
      <c r="L109" s="22"/>
      <c r="M109" s="22"/>
      <c r="O109" s="67"/>
      <c r="R109" s="1" t="s">
        <v>179</v>
      </c>
    </row>
    <row r="110" spans="1:18" ht="16.5" customHeight="1" thickBot="1" x14ac:dyDescent="0.35">
      <c r="A110" s="21"/>
      <c r="B110" s="22" t="s">
        <v>180</v>
      </c>
      <c r="C110" s="22"/>
      <c r="D110" s="22"/>
      <c r="E110" s="215">
        <f>Gesuch!E107</f>
        <v>0</v>
      </c>
      <c r="F110" s="73" t="s">
        <v>181</v>
      </c>
      <c r="G110" s="22"/>
      <c r="H110" s="22"/>
      <c r="I110" s="22"/>
      <c r="J110" s="153"/>
      <c r="K110" s="73" t="s">
        <v>181</v>
      </c>
      <c r="L110" s="22"/>
      <c r="M110" s="22"/>
      <c r="N110" s="1" t="s">
        <v>182</v>
      </c>
      <c r="O110" s="67"/>
      <c r="P110" s="1" t="s">
        <v>183</v>
      </c>
    </row>
    <row r="111" spans="1:18" ht="16.5" customHeight="1" thickBot="1" x14ac:dyDescent="0.35">
      <c r="A111" s="21"/>
      <c r="B111" s="22" t="s">
        <v>184</v>
      </c>
      <c r="C111" s="22"/>
      <c r="D111" s="22"/>
      <c r="E111" s="215">
        <f>Gesuch!E108</f>
        <v>0</v>
      </c>
      <c r="F111" s="73" t="s">
        <v>181</v>
      </c>
      <c r="G111" s="22"/>
      <c r="H111" s="22"/>
      <c r="I111" s="22"/>
      <c r="J111" s="153"/>
      <c r="K111" s="73" t="s">
        <v>181</v>
      </c>
      <c r="L111" s="22"/>
      <c r="M111" s="22"/>
      <c r="N111" s="1" t="s">
        <v>182</v>
      </c>
      <c r="O111" s="67"/>
      <c r="P111" s="1" t="s">
        <v>183</v>
      </c>
    </row>
    <row r="112" spans="1:18" ht="16.5" customHeight="1" x14ac:dyDescent="0.3">
      <c r="A112" s="21"/>
      <c r="B112" s="22"/>
      <c r="C112" s="22"/>
      <c r="D112" s="22"/>
      <c r="E112" s="22"/>
      <c r="F112" s="22"/>
      <c r="G112" s="22"/>
      <c r="H112" s="22"/>
      <c r="I112" s="22"/>
      <c r="J112" s="22"/>
      <c r="K112" s="22"/>
      <c r="L112" s="22"/>
      <c r="M112" s="22"/>
      <c r="O112" s="67"/>
    </row>
    <row r="113" spans="1:17" ht="16.5" customHeight="1" thickBot="1" x14ac:dyDescent="0.35">
      <c r="A113" s="21" t="s">
        <v>185</v>
      </c>
      <c r="B113" s="21"/>
      <c r="C113" s="22"/>
      <c r="D113" s="22"/>
      <c r="E113" s="22"/>
      <c r="F113" s="22"/>
      <c r="G113" s="22"/>
      <c r="H113" s="22"/>
      <c r="I113" s="22"/>
      <c r="J113" s="22"/>
      <c r="K113" s="22"/>
      <c r="L113" s="22"/>
      <c r="M113" s="22"/>
      <c r="O113" s="67"/>
      <c r="Q113" s="47"/>
    </row>
    <row r="114" spans="1:17" ht="16.5" customHeight="1" thickBot="1" x14ac:dyDescent="0.35">
      <c r="A114" s="21"/>
      <c r="B114" s="22" t="s">
        <v>301</v>
      </c>
      <c r="C114" s="22"/>
      <c r="D114" s="22"/>
      <c r="E114" s="22">
        <f>Gesuch!E111</f>
        <v>0</v>
      </c>
      <c r="F114" s="22"/>
      <c r="G114" s="22"/>
      <c r="H114" s="22"/>
      <c r="I114" s="22"/>
      <c r="J114" s="139"/>
      <c r="K114" s="22"/>
      <c r="L114" s="22"/>
      <c r="M114" s="22"/>
      <c r="N114" s="69" t="s">
        <v>186</v>
      </c>
      <c r="O114" s="68"/>
      <c r="P114" s="1" t="s">
        <v>168</v>
      </c>
      <c r="Q114" s="47" t="s">
        <v>187</v>
      </c>
    </row>
    <row r="115" spans="1:17" ht="16.5" customHeight="1" thickBot="1" x14ac:dyDescent="0.35">
      <c r="A115" s="21"/>
      <c r="B115" s="22" t="s">
        <v>300</v>
      </c>
      <c r="C115" s="22"/>
      <c r="D115" s="22"/>
      <c r="E115" s="22">
        <f>Gesuch!E112</f>
        <v>0</v>
      </c>
      <c r="F115" s="22"/>
      <c r="G115" s="22"/>
      <c r="H115" s="22"/>
      <c r="I115" s="22"/>
      <c r="J115" s="139"/>
      <c r="K115" s="22"/>
      <c r="L115" s="22"/>
      <c r="M115" s="22"/>
      <c r="N115" s="69" t="s">
        <v>186</v>
      </c>
      <c r="O115" s="71"/>
      <c r="P115" s="1" t="s">
        <v>168</v>
      </c>
      <c r="Q115" s="47" t="s">
        <v>187</v>
      </c>
    </row>
    <row r="116" spans="1:17" ht="16.5" customHeight="1" x14ac:dyDescent="0.3">
      <c r="A116" s="21"/>
      <c r="B116" s="22"/>
      <c r="C116" s="22"/>
      <c r="D116" s="22"/>
      <c r="E116" s="22"/>
      <c r="F116" s="22"/>
      <c r="G116" s="22"/>
      <c r="H116" s="22"/>
      <c r="I116" s="22"/>
      <c r="J116" s="22"/>
      <c r="K116" s="22"/>
      <c r="L116" s="22"/>
      <c r="M116" s="22"/>
      <c r="N116" s="14"/>
      <c r="O116" s="71"/>
      <c r="Q116" s="47"/>
    </row>
    <row r="117" spans="1:17" ht="16.5" customHeight="1" thickBot="1" x14ac:dyDescent="0.35">
      <c r="A117" s="21" t="s">
        <v>302</v>
      </c>
      <c r="B117" s="22"/>
      <c r="C117" s="22"/>
      <c r="D117" s="22"/>
      <c r="E117" s="22"/>
      <c r="F117" s="22"/>
      <c r="G117" s="22"/>
      <c r="H117" s="22"/>
      <c r="I117" s="22"/>
      <c r="J117" s="22"/>
      <c r="K117" s="22"/>
      <c r="L117" s="22"/>
      <c r="M117" s="22"/>
      <c r="N117" s="14"/>
      <c r="O117" s="71"/>
      <c r="Q117" s="47"/>
    </row>
    <row r="118" spans="1:17" ht="16.5" customHeight="1" thickBot="1" x14ac:dyDescent="0.35">
      <c r="A118" s="21"/>
      <c r="B118" s="22" t="s">
        <v>180</v>
      </c>
      <c r="C118" s="22"/>
      <c r="D118" s="22"/>
      <c r="E118" s="215">
        <f>Gesuch!E115</f>
        <v>0</v>
      </c>
      <c r="F118" s="22" t="str">
        <f>Gesuch!F115</f>
        <v xml:space="preserve"> </v>
      </c>
      <c r="G118" s="22"/>
      <c r="H118" s="22"/>
      <c r="I118" s="22"/>
      <c r="J118" s="153"/>
      <c r="K118" s="73" t="str">
        <f>_xlfn.CONCAT(IF(J115="",E115,J115)," ",IF(J114="",E114,J114))</f>
        <v>0 0</v>
      </c>
      <c r="L118" s="22"/>
      <c r="M118" s="22"/>
      <c r="N118" s="1" t="s">
        <v>182</v>
      </c>
      <c r="O118" s="67"/>
      <c r="P118" s="1" t="s">
        <v>183</v>
      </c>
    </row>
    <row r="119" spans="1:17" ht="16.5" customHeight="1" thickBot="1" x14ac:dyDescent="0.35">
      <c r="A119" s="21"/>
      <c r="B119" s="22" t="s">
        <v>184</v>
      </c>
      <c r="C119" s="22"/>
      <c r="D119" s="22"/>
      <c r="E119" s="215">
        <f>Gesuch!E116</f>
        <v>0</v>
      </c>
      <c r="F119" s="22" t="str">
        <f>Gesuch!F116</f>
        <v xml:space="preserve"> </v>
      </c>
      <c r="G119" s="22"/>
      <c r="H119" s="22"/>
      <c r="I119" s="22"/>
      <c r="J119" s="153"/>
      <c r="K119" s="73" t="str">
        <f>K118</f>
        <v>0 0</v>
      </c>
      <c r="L119" s="22"/>
      <c r="M119" s="22"/>
      <c r="N119" s="1" t="s">
        <v>182</v>
      </c>
      <c r="O119" s="67"/>
      <c r="P119" s="1" t="s">
        <v>183</v>
      </c>
    </row>
    <row r="120" spans="1:17" ht="16.5" customHeight="1" x14ac:dyDescent="0.3">
      <c r="A120" s="21"/>
      <c r="B120" s="22"/>
      <c r="C120" s="22"/>
      <c r="D120" s="22"/>
      <c r="E120" s="22"/>
      <c r="F120" s="22"/>
      <c r="G120" s="22"/>
      <c r="H120" s="22"/>
      <c r="I120" s="22"/>
      <c r="J120" s="22"/>
      <c r="K120" s="73"/>
      <c r="L120" s="22"/>
      <c r="M120" s="22"/>
      <c r="O120" s="67"/>
    </row>
    <row r="121" spans="1:17" ht="16.5" customHeight="1" x14ac:dyDescent="0.3">
      <c r="A121" s="21" t="s">
        <v>189</v>
      </c>
      <c r="B121" s="22"/>
      <c r="C121" s="22"/>
      <c r="D121" s="22"/>
      <c r="E121" s="22"/>
      <c r="F121" s="22"/>
      <c r="G121" s="22"/>
      <c r="H121" s="22"/>
      <c r="I121" s="22"/>
      <c r="J121" s="22"/>
      <c r="K121" s="73"/>
      <c r="L121" s="22"/>
      <c r="M121" s="22"/>
      <c r="N121" s="1" t="s">
        <v>190</v>
      </c>
      <c r="O121" s="67"/>
    </row>
    <row r="122" spans="1:17" ht="16.5" customHeight="1" x14ac:dyDescent="0.3">
      <c r="A122" s="21"/>
      <c r="B122" s="22" t="s">
        <v>191</v>
      </c>
      <c r="C122" s="22"/>
      <c r="D122" s="22"/>
      <c r="E122" s="74">
        <f>Gesuch!E119</f>
        <v>0</v>
      </c>
      <c r="F122" s="22" t="str">
        <f>Gesuch!F119</f>
        <v xml:space="preserve">Emissionen / </v>
      </c>
      <c r="G122" s="22"/>
      <c r="H122" s="22"/>
      <c r="I122" s="22"/>
      <c r="J122" s="122" t="e">
        <f>IF(J110&gt;0,J110,E110)/IF(J118&gt;0,J118,E118)</f>
        <v>#DIV/0!</v>
      </c>
      <c r="K122" s="75" t="str">
        <f>_xlfn.CONCAT("Emissionen / ",IF(J114="",E114,J114))</f>
        <v>Emissionen / 0</v>
      </c>
      <c r="L122" s="76"/>
      <c r="M122" s="22"/>
      <c r="N122" s="47"/>
      <c r="O122" s="67"/>
      <c r="P122" s="1" t="s">
        <v>168</v>
      </c>
    </row>
    <row r="123" spans="1:17" ht="16.5" customHeight="1" x14ac:dyDescent="0.3">
      <c r="A123" s="21"/>
      <c r="B123" s="22" t="s">
        <v>192</v>
      </c>
      <c r="C123" s="22"/>
      <c r="D123" s="22"/>
      <c r="E123" s="74">
        <f>Gesuch!E120</f>
        <v>0</v>
      </c>
      <c r="F123" s="22" t="str">
        <f>Gesuch!F120</f>
        <v xml:space="preserve">Emissionen / </v>
      </c>
      <c r="G123" s="22"/>
      <c r="H123" s="22"/>
      <c r="I123" s="22"/>
      <c r="J123" s="122" t="e">
        <f>IF(J111&gt;0,J111,E111)/IF(J119&gt;0,J119,E119)</f>
        <v>#DIV/0!</v>
      </c>
      <c r="K123" s="75" t="str">
        <f>K122</f>
        <v>Emissionen / 0</v>
      </c>
      <c r="L123" s="76"/>
      <c r="M123" s="22"/>
      <c r="N123" s="47"/>
      <c r="O123" s="67"/>
      <c r="P123" s="1" t="s">
        <v>168</v>
      </c>
    </row>
    <row r="124" spans="1:17" ht="16.5" customHeight="1" x14ac:dyDescent="0.3">
      <c r="A124" s="21"/>
      <c r="B124" s="77" t="s">
        <v>193</v>
      </c>
      <c r="C124" s="22"/>
      <c r="D124" s="22"/>
      <c r="E124" s="73">
        <f>Gesuch!E121</f>
        <v>0</v>
      </c>
      <c r="F124" s="22" t="str">
        <f>Gesuch!F121</f>
        <v>t CO2eq</v>
      </c>
      <c r="G124" s="22"/>
      <c r="H124" s="22"/>
      <c r="I124" s="22"/>
      <c r="J124" s="73" t="e">
        <f>IF(J118&gt;0,J118,E118)*J123</f>
        <v>#DIV/0!</v>
      </c>
      <c r="K124" s="73" t="s">
        <v>181</v>
      </c>
      <c r="L124" s="22"/>
      <c r="M124" s="22"/>
      <c r="N124" s="78" t="str">
        <f>_xlfn.CONCAT(J$59, " * Emissionsintensität Vorjahr")</f>
        <v xml:space="preserve"> * Emissionsintensität Vorjahr</v>
      </c>
      <c r="O124" s="79"/>
    </row>
    <row r="125" spans="1:17" ht="16.5" customHeight="1" x14ac:dyDescent="0.3">
      <c r="A125" s="21"/>
      <c r="B125" s="115" t="s">
        <v>194</v>
      </c>
      <c r="C125" s="21"/>
      <c r="D125" s="21"/>
      <c r="E125" s="80">
        <f>Gesuch!E122</f>
        <v>0</v>
      </c>
      <c r="F125" s="21" t="str">
        <f>Gesuch!F122</f>
        <v>t CO2eq</v>
      </c>
      <c r="G125" s="22"/>
      <c r="H125" s="22"/>
      <c r="I125" s="21"/>
      <c r="J125" s="80" t="e">
        <f>J124-IF(J110&gt;0,J110,E110)</f>
        <v>#DIV/0!</v>
      </c>
      <c r="K125" s="73" t="s">
        <v>181</v>
      </c>
      <c r="L125" s="22"/>
      <c r="M125" s="22"/>
      <c r="N125" s="78" t="s">
        <v>195</v>
      </c>
      <c r="O125" s="79"/>
    </row>
    <row r="126" spans="1:17" ht="16.5" customHeight="1" thickBot="1" x14ac:dyDescent="0.35">
      <c r="A126" s="21"/>
      <c r="B126" s="115"/>
      <c r="C126" s="21"/>
      <c r="D126" s="21"/>
      <c r="E126" s="80"/>
      <c r="F126" s="21"/>
      <c r="G126" s="22"/>
      <c r="H126" s="22"/>
      <c r="I126" s="21"/>
      <c r="J126" s="80"/>
      <c r="K126" s="73"/>
      <c r="L126" s="22"/>
      <c r="M126" s="22"/>
      <c r="N126" s="78"/>
      <c r="O126" s="79"/>
    </row>
    <row r="127" spans="1:17" ht="16.5" customHeight="1" thickBot="1" x14ac:dyDescent="0.35">
      <c r="A127" s="21"/>
      <c r="B127" s="271">
        <f>Gesuch!B125</f>
        <v>0</v>
      </c>
      <c r="C127" s="271"/>
      <c r="D127" s="271"/>
      <c r="E127" s="271"/>
      <c r="F127" s="271"/>
      <c r="G127" s="271"/>
      <c r="H127" s="271"/>
      <c r="I127" s="113"/>
      <c r="J127" s="244"/>
      <c r="K127" s="245"/>
      <c r="L127" s="246"/>
      <c r="M127" s="22"/>
      <c r="N127" s="78"/>
      <c r="O127" s="79"/>
    </row>
    <row r="128" spans="1:17" ht="16.5" customHeight="1" x14ac:dyDescent="0.3">
      <c r="A128" s="21"/>
      <c r="B128" s="22"/>
      <c r="C128" s="21"/>
      <c r="D128" s="21"/>
      <c r="E128" s="21"/>
      <c r="F128" s="21"/>
      <c r="G128" s="21"/>
      <c r="H128" s="21"/>
      <c r="I128" s="21"/>
      <c r="J128" s="80"/>
      <c r="K128" s="73"/>
      <c r="L128" s="22"/>
      <c r="M128" s="22"/>
      <c r="O128" s="67"/>
    </row>
    <row r="129" spans="1:17" ht="16.5" customHeight="1" x14ac:dyDescent="0.3">
      <c r="A129" s="21" t="s">
        <v>196</v>
      </c>
      <c r="B129" s="21"/>
      <c r="C129" s="22"/>
      <c r="D129" s="22"/>
      <c r="E129" s="22"/>
      <c r="F129" s="22"/>
      <c r="G129" s="22"/>
      <c r="H129" s="22"/>
      <c r="I129" s="22"/>
      <c r="J129" s="22"/>
      <c r="K129" s="22"/>
      <c r="L129" s="22"/>
      <c r="M129" s="22"/>
      <c r="N129" s="1" t="s">
        <v>197</v>
      </c>
      <c r="O129" s="67"/>
    </row>
    <row r="130" spans="1:17" ht="16.5" customHeight="1" x14ac:dyDescent="0.3">
      <c r="A130" s="81" t="s">
        <v>198</v>
      </c>
      <c r="B130" s="21"/>
      <c r="C130" s="22"/>
      <c r="D130" s="22"/>
      <c r="E130" s="22"/>
      <c r="F130" s="22"/>
      <c r="G130" s="22"/>
      <c r="H130" s="22"/>
      <c r="I130" s="22"/>
      <c r="J130" s="22"/>
      <c r="K130" s="22"/>
      <c r="L130" s="22"/>
      <c r="M130" s="22"/>
      <c r="O130" s="67"/>
      <c r="P130" s="1" t="s">
        <v>199</v>
      </c>
      <c r="Q130" s="47" t="s">
        <v>200</v>
      </c>
    </row>
    <row r="131" spans="1:17" ht="16.5" customHeight="1" x14ac:dyDescent="0.3">
      <c r="A131" s="21"/>
      <c r="B131" s="198" t="str">
        <f>IF(Datensatz!BL2=TRUE,"j","")</f>
        <v/>
      </c>
      <c r="C131" s="89" t="str">
        <f>"Die Scope 3.1-Daten beruhen auf einem auditierten Treibhausgasinventar ("&amp;Datensatz!AY3&amp;")."</f>
        <v>Die Scope 3.1-Daten beruhen auf einem auditierten Treibhausgasinventar (0).</v>
      </c>
      <c r="D131" s="89"/>
      <c r="E131" s="89"/>
      <c r="F131" s="89"/>
      <c r="G131" s="89"/>
      <c r="H131" s="89"/>
      <c r="I131" s="22"/>
      <c r="J131" s="22"/>
      <c r="K131" s="197"/>
      <c r="L131" s="22" t="str">
        <f>IF(K131="j","erfüllt",IF(K131="n","nicht erfüllt",""))</f>
        <v/>
      </c>
      <c r="M131" s="22"/>
      <c r="N131" s="1" t="s">
        <v>201</v>
      </c>
      <c r="O131" s="67"/>
      <c r="P131" s="1" t="s">
        <v>177</v>
      </c>
    </row>
    <row r="132" spans="1:17" ht="16.5" customHeight="1" x14ac:dyDescent="0.3">
      <c r="A132" s="21"/>
      <c r="B132" s="198" t="str">
        <f>IF(Datensatz!BM2=TRUE,"j","")</f>
        <v/>
      </c>
      <c r="C132" s="89" t="s">
        <v>208</v>
      </c>
      <c r="D132" s="89"/>
      <c r="E132" s="89"/>
      <c r="F132" s="89"/>
      <c r="G132" s="89"/>
      <c r="H132" s="89"/>
      <c r="I132" s="22"/>
      <c r="J132" s="22"/>
      <c r="K132" s="197"/>
      <c r="L132" s="22" t="str">
        <f>IF(K132="j","erfüllt",IF(K132="n","nicht erfüllt",""))</f>
        <v/>
      </c>
      <c r="M132" s="22"/>
      <c r="N132" s="1" t="s">
        <v>201</v>
      </c>
      <c r="O132" s="67"/>
      <c r="P132" s="1" t="s">
        <v>177</v>
      </c>
    </row>
    <row r="133" spans="1:17" ht="16.5" customHeight="1" x14ac:dyDescent="0.3">
      <c r="A133" s="21"/>
      <c r="B133" s="198" t="str">
        <f>IF(Datensatz!BN2=TRUE,"j","")</f>
        <v/>
      </c>
      <c r="C133" s="90" t="s">
        <v>202</v>
      </c>
      <c r="D133" s="90"/>
      <c r="E133" s="90"/>
      <c r="F133" s="90"/>
      <c r="G133" s="90"/>
      <c r="H133" s="90"/>
      <c r="I133" s="22"/>
      <c r="J133" s="22"/>
      <c r="K133" s="197"/>
      <c r="L133" s="22" t="str">
        <f>IF(K133="j","erfüllt",IF(K133="n","nicht erfüllt",""))</f>
        <v/>
      </c>
      <c r="M133" s="22"/>
      <c r="N133" s="1" t="s">
        <v>201</v>
      </c>
      <c r="O133" s="67"/>
      <c r="P133" s="1" t="s">
        <v>177</v>
      </c>
    </row>
    <row r="134" spans="1:17" ht="16.5" customHeight="1" x14ac:dyDescent="0.3">
      <c r="A134" s="21"/>
      <c r="B134" s="198" t="str">
        <f>IF(Datensatz!BO2=TRUE,"j","")</f>
        <v/>
      </c>
      <c r="C134" s="89" t="s">
        <v>203</v>
      </c>
      <c r="D134" s="89"/>
      <c r="E134" s="89"/>
      <c r="F134" s="89"/>
      <c r="G134" s="89"/>
      <c r="H134" s="89"/>
      <c r="I134" s="22"/>
      <c r="J134" s="22"/>
      <c r="K134" s="197"/>
      <c r="L134" s="22" t="str">
        <f>IF(K134="j","erfüllt",IF(K134="n","nicht erfüllt",""))</f>
        <v/>
      </c>
      <c r="M134" s="22"/>
      <c r="N134" s="1" t="s">
        <v>201</v>
      </c>
      <c r="O134" s="67"/>
      <c r="P134" s="1" t="s">
        <v>177</v>
      </c>
    </row>
    <row r="135" spans="1:17" ht="16.5" customHeight="1" x14ac:dyDescent="0.3">
      <c r="A135" s="21"/>
      <c r="B135" s="198" t="s">
        <v>303</v>
      </c>
      <c r="C135" s="89" t="str">
        <f>IF(Gesuch!N134=2,"Limited","Reasonable")&amp;" Assurance Report (ISAE 3000 rev) von "&amp;Datensatz!AZ3&amp;" über die obigen Angaben liegt bei."</f>
        <v>Limited Assurance Report (ISAE 3000 rev) von 0 über die obigen Angaben liegt bei.</v>
      </c>
      <c r="D135" s="89"/>
      <c r="E135" s="89"/>
      <c r="F135" s="89"/>
      <c r="G135" s="89"/>
      <c r="H135" s="89"/>
      <c r="I135" s="22"/>
      <c r="J135" s="22"/>
      <c r="K135" s="197"/>
      <c r="L135" s="22" t="str">
        <f>IF(K135="j","erfüllt",IF(K135="n","nicht erfüllt",""))</f>
        <v/>
      </c>
      <c r="M135" s="22"/>
      <c r="N135" s="1" t="s">
        <v>204</v>
      </c>
      <c r="O135" s="67"/>
      <c r="P135" s="1" t="s">
        <v>177</v>
      </c>
    </row>
    <row r="136" spans="1:17" ht="16.5" customHeight="1" x14ac:dyDescent="0.3">
      <c r="A136" s="21"/>
      <c r="B136" s="116" t="str">
        <f>IF(Datensatz!BL7=TRUE,"x","")</f>
        <v/>
      </c>
      <c r="C136" s="89"/>
      <c r="D136" s="89"/>
      <c r="E136" s="89"/>
      <c r="F136" s="89"/>
      <c r="G136" s="89"/>
      <c r="H136" s="89"/>
      <c r="I136" s="22"/>
      <c r="J136" s="22"/>
      <c r="K136" s="22"/>
      <c r="L136" s="22"/>
      <c r="M136" s="22"/>
      <c r="N136" s="1" t="s">
        <v>204</v>
      </c>
      <c r="O136" s="67"/>
      <c r="P136" s="1" t="s">
        <v>177</v>
      </c>
    </row>
    <row r="137" spans="1:17" ht="16.5" customHeight="1" x14ac:dyDescent="0.3">
      <c r="A137" s="21"/>
      <c r="B137" s="22"/>
      <c r="C137" s="22"/>
      <c r="D137" s="22"/>
      <c r="E137" s="22"/>
      <c r="F137" s="22"/>
      <c r="G137" s="22"/>
      <c r="H137" s="22"/>
      <c r="I137" s="22"/>
      <c r="J137" s="22"/>
      <c r="K137" s="22"/>
      <c r="L137" s="22"/>
      <c r="M137" s="22"/>
      <c r="O137" s="67"/>
      <c r="Q137" s="82"/>
    </row>
    <row r="139" spans="1:17" ht="30.75" customHeight="1" x14ac:dyDescent="0.3">
      <c r="A139" s="23" t="str">
        <f>"Zusammenfassung des Förderanspruchs für das Jahr "&amp;Gesuch!C3</f>
        <v>Zusammenfassung des Förderanspruchs für das Jahr 2025</v>
      </c>
      <c r="B139" s="24"/>
      <c r="C139" s="24"/>
      <c r="D139" s="24"/>
      <c r="E139" s="24"/>
      <c r="F139" s="24"/>
      <c r="G139" s="24"/>
      <c r="H139" s="24"/>
      <c r="I139" s="24"/>
      <c r="J139" s="24"/>
      <c r="K139" s="24"/>
      <c r="L139" s="24"/>
      <c r="M139" s="24"/>
    </row>
    <row r="140" spans="1:17" ht="11.25" customHeight="1" x14ac:dyDescent="0.3">
      <c r="A140" s="25"/>
      <c r="B140" s="24"/>
      <c r="C140" s="24"/>
      <c r="D140" s="24"/>
      <c r="E140" s="24"/>
      <c r="F140" s="24"/>
      <c r="G140" s="24"/>
      <c r="H140" s="203"/>
      <c r="I140" s="203"/>
      <c r="J140" s="203"/>
      <c r="K140" s="203"/>
      <c r="L140" s="203"/>
      <c r="M140" s="24"/>
    </row>
    <row r="141" spans="1:17" ht="16.5" customHeight="1" x14ac:dyDescent="0.3">
      <c r="A141" s="25" t="s">
        <v>0</v>
      </c>
      <c r="B141" s="24"/>
      <c r="C141" s="24"/>
      <c r="D141" s="24"/>
      <c r="E141" s="24"/>
      <c r="F141" s="24"/>
      <c r="G141" s="24"/>
      <c r="H141" s="204" t="s">
        <v>425</v>
      </c>
      <c r="I141" s="204"/>
      <c r="J141" s="203"/>
      <c r="K141" s="203"/>
      <c r="L141" s="203" t="s">
        <v>426</v>
      </c>
      <c r="M141" s="24"/>
    </row>
    <row r="142" spans="1:17" ht="16.5" customHeight="1" x14ac:dyDescent="0.3">
      <c r="A142" s="25"/>
      <c r="B142" s="24" t="s">
        <v>41</v>
      </c>
      <c r="C142" s="24"/>
      <c r="D142" s="24"/>
      <c r="E142" s="24"/>
      <c r="F142" s="24"/>
      <c r="G142" s="24"/>
      <c r="H142" s="205">
        <f>Gesuch!G140</f>
        <v>0</v>
      </c>
      <c r="I142" s="206"/>
      <c r="J142" s="24"/>
      <c r="K142" s="24"/>
      <c r="L142" s="26">
        <f>IF(L85&gt;0,L85,B85)</f>
        <v>0</v>
      </c>
      <c r="M142" s="24"/>
    </row>
    <row r="143" spans="1:17" ht="16.5" customHeight="1" x14ac:dyDescent="0.3">
      <c r="A143" s="25"/>
      <c r="B143" s="24" t="s">
        <v>43</v>
      </c>
      <c r="C143" s="24"/>
      <c r="D143" s="24"/>
      <c r="E143" s="24"/>
      <c r="F143" s="24"/>
      <c r="G143" s="24"/>
      <c r="H143" s="205">
        <f>Gesuch!G141</f>
        <v>0</v>
      </c>
      <c r="I143" s="206"/>
      <c r="J143" s="174">
        <f>Gesuch!E141</f>
        <v>0.35</v>
      </c>
      <c r="K143" s="24"/>
      <c r="L143" s="26">
        <f>L142*J143</f>
        <v>0</v>
      </c>
      <c r="M143" s="24"/>
    </row>
    <row r="144" spans="1:17" ht="16.5" customHeight="1" x14ac:dyDescent="0.3">
      <c r="A144" s="25"/>
      <c r="B144" s="24" t="str">
        <f>Gesuch!B142</f>
        <v>Sachaufwand in der Schweiz</v>
      </c>
      <c r="C144" s="24"/>
      <c r="D144" s="24"/>
      <c r="E144" s="24"/>
      <c r="F144" s="24"/>
      <c r="G144" s="24"/>
      <c r="H144" s="205">
        <f>Gesuch!G142</f>
        <v>0</v>
      </c>
      <c r="I144" s="206"/>
      <c r="J144" s="174"/>
      <c r="K144" s="24"/>
      <c r="L144" s="26">
        <f>IF(L88&gt;0,L88,F88)</f>
        <v>0</v>
      </c>
      <c r="M144" s="24"/>
    </row>
    <row r="145" spans="1:14" ht="16.5" customHeight="1" x14ac:dyDescent="0.3">
      <c r="A145" s="25"/>
      <c r="B145" s="27" t="str">
        <f>Gesuch!B143</f>
        <v>Aufwand durch beauftragte Dritte</v>
      </c>
      <c r="C145" s="27"/>
      <c r="D145" s="27"/>
      <c r="E145" s="27"/>
      <c r="F145" s="27"/>
      <c r="G145" s="27"/>
      <c r="H145" s="207">
        <f>Gesuch!G143</f>
        <v>0</v>
      </c>
      <c r="I145" s="208"/>
      <c r="J145" s="28"/>
      <c r="K145" s="27"/>
      <c r="L145" s="29">
        <f>IF(L89&gt;0,L89,F89)</f>
        <v>0</v>
      </c>
      <c r="M145" s="24"/>
    </row>
    <row r="146" spans="1:14" ht="21.75" customHeight="1" x14ac:dyDescent="0.3">
      <c r="A146" s="25"/>
      <c r="B146" s="24" t="s">
        <v>42</v>
      </c>
      <c r="C146" s="24"/>
      <c r="D146" s="24"/>
      <c r="E146" s="24"/>
      <c r="F146" s="24"/>
      <c r="G146" s="24"/>
      <c r="H146" s="205">
        <f>Gesuch!G144</f>
        <v>0</v>
      </c>
      <c r="I146" s="206"/>
      <c r="J146" s="93"/>
      <c r="K146" s="24"/>
      <c r="L146" s="26">
        <f>SUM(L142:L145)</f>
        <v>0</v>
      </c>
      <c r="M146" s="24"/>
    </row>
    <row r="147" spans="1:14" ht="26.25" customHeight="1" x14ac:dyDescent="0.3">
      <c r="A147" s="25"/>
      <c r="B147" s="30" t="s">
        <v>44</v>
      </c>
      <c r="C147" s="30"/>
      <c r="D147" s="30"/>
      <c r="E147" s="30"/>
      <c r="F147" s="30"/>
      <c r="G147" s="30"/>
      <c r="H147" s="209">
        <f>Gesuch!G145</f>
        <v>0</v>
      </c>
      <c r="I147" s="210"/>
      <c r="J147" s="31">
        <f>Gesuch!E145</f>
        <v>0.25</v>
      </c>
      <c r="K147" s="30"/>
      <c r="L147" s="32">
        <f>IF(Datensatz!V3=FALSE,0,L146*J147)</f>
        <v>0</v>
      </c>
      <c r="M147" s="24"/>
    </row>
    <row r="148" spans="1:14" ht="16.5" customHeight="1" x14ac:dyDescent="0.3">
      <c r="A148" s="25"/>
      <c r="B148" s="24"/>
      <c r="C148" s="24"/>
      <c r="D148" s="24"/>
      <c r="E148" s="24"/>
      <c r="F148" s="24"/>
      <c r="G148" s="24"/>
      <c r="H148" s="206"/>
      <c r="I148" s="206"/>
      <c r="J148" s="24"/>
      <c r="K148" s="24"/>
      <c r="L148" s="24"/>
      <c r="M148" s="24"/>
    </row>
    <row r="149" spans="1:14" ht="16.5" customHeight="1" x14ac:dyDescent="0.3">
      <c r="A149" s="25" t="s">
        <v>39</v>
      </c>
      <c r="B149" s="24"/>
      <c r="C149" s="24"/>
      <c r="D149" s="24"/>
      <c r="E149" s="24"/>
      <c r="F149" s="24"/>
      <c r="G149" s="24"/>
      <c r="H149" s="206"/>
      <c r="I149" s="206"/>
      <c r="J149" s="24"/>
      <c r="K149" s="24"/>
      <c r="L149" s="24"/>
      <c r="M149" s="24"/>
    </row>
    <row r="150" spans="1:14" ht="16.5" customHeight="1" x14ac:dyDescent="0.3">
      <c r="A150" s="25"/>
      <c r="B150" s="24" t="s">
        <v>45</v>
      </c>
      <c r="C150" s="24"/>
      <c r="D150" s="24"/>
      <c r="E150" s="24"/>
      <c r="F150" s="24"/>
      <c r="G150" s="24"/>
      <c r="H150" s="205">
        <f>Gesuch!G148</f>
        <v>0</v>
      </c>
      <c r="I150" s="206"/>
      <c r="J150" s="24"/>
      <c r="K150" s="24"/>
      <c r="L150" s="26" t="e">
        <f>J125</f>
        <v>#DIV/0!</v>
      </c>
      <c r="M150" s="24"/>
    </row>
    <row r="151" spans="1:14" ht="16.5" customHeight="1" x14ac:dyDescent="0.3">
      <c r="A151" s="25"/>
      <c r="B151" s="27" t="s">
        <v>48</v>
      </c>
      <c r="C151" s="27"/>
      <c r="D151" s="27"/>
      <c r="E151" s="27"/>
      <c r="F151" s="27"/>
      <c r="G151" s="27"/>
      <c r="H151" s="208"/>
      <c r="I151" s="208"/>
      <c r="J151" s="28"/>
      <c r="K151" s="27"/>
      <c r="L151" s="27">
        <f>Gesuch!G149</f>
        <v>30</v>
      </c>
      <c r="M151" s="24"/>
    </row>
    <row r="152" spans="1:14" ht="26.25" customHeight="1" x14ac:dyDescent="0.35">
      <c r="A152" s="25"/>
      <c r="B152" s="30" t="s">
        <v>39</v>
      </c>
      <c r="C152" s="30"/>
      <c r="D152" s="30"/>
      <c r="E152" s="30"/>
      <c r="F152" s="30"/>
      <c r="G152" s="30"/>
      <c r="H152" s="209">
        <f>Gesuch!G150</f>
        <v>0</v>
      </c>
      <c r="I152" s="210"/>
      <c r="J152" s="30"/>
      <c r="K152" s="30"/>
      <c r="L152" s="32" t="e">
        <f>IF(OR(L150&lt;50000,A33&lt;&gt;""),0,L150*L151)</f>
        <v>#DIV/0!</v>
      </c>
      <c r="M152" s="24"/>
    </row>
    <row r="153" spans="1:14" ht="16.5" customHeight="1" x14ac:dyDescent="0.3">
      <c r="A153" s="25"/>
      <c r="B153" s="24"/>
      <c r="C153" s="24"/>
      <c r="D153" s="24"/>
      <c r="E153" s="24"/>
      <c r="F153" s="24"/>
      <c r="G153" s="24"/>
      <c r="H153" s="206"/>
      <c r="I153" s="206"/>
      <c r="J153" s="24"/>
      <c r="K153" s="24"/>
      <c r="L153" s="24"/>
      <c r="M153" s="24"/>
    </row>
    <row r="154" spans="1:14" ht="16.5" customHeight="1" x14ac:dyDescent="0.3">
      <c r="A154" s="25"/>
      <c r="B154" s="24"/>
      <c r="C154" s="24"/>
      <c r="D154" s="24"/>
      <c r="E154" s="24"/>
      <c r="F154" s="24"/>
      <c r="G154" s="24"/>
      <c r="H154" s="206"/>
      <c r="I154" s="206"/>
      <c r="J154" s="24"/>
      <c r="K154" s="24"/>
      <c r="L154" s="24"/>
      <c r="M154" s="24"/>
    </row>
    <row r="155" spans="1:14" ht="16.5" customHeight="1" x14ac:dyDescent="0.3">
      <c r="A155" s="25" t="s">
        <v>47</v>
      </c>
      <c r="B155" s="24"/>
      <c r="C155" s="24"/>
      <c r="D155" s="24"/>
      <c r="E155" s="24"/>
      <c r="F155" s="24"/>
      <c r="G155" s="24"/>
      <c r="H155" s="206"/>
      <c r="I155" s="206"/>
      <c r="J155" s="24"/>
      <c r="K155" s="24"/>
      <c r="L155" s="24"/>
      <c r="M155" s="24"/>
    </row>
    <row r="156" spans="1:14" ht="16.5" customHeight="1" x14ac:dyDescent="0.3">
      <c r="A156" s="25"/>
      <c r="B156" s="24" t="s">
        <v>46</v>
      </c>
      <c r="C156" s="24"/>
      <c r="D156" s="24"/>
      <c r="E156" s="24"/>
      <c r="F156" s="24"/>
      <c r="G156" s="24"/>
      <c r="H156" s="205">
        <f>Gesuch!G154</f>
        <v>0</v>
      </c>
      <c r="I156" s="206"/>
      <c r="J156" s="24"/>
      <c r="K156" s="24"/>
      <c r="L156" s="26" t="e">
        <f>L147+L152</f>
        <v>#DIV/0!</v>
      </c>
      <c r="M156" s="24"/>
    </row>
    <row r="157" spans="1:14" ht="16.5" customHeight="1" x14ac:dyDescent="0.3">
      <c r="A157" s="25"/>
      <c r="B157" s="27" t="s">
        <v>49</v>
      </c>
      <c r="C157" s="27"/>
      <c r="D157" s="27"/>
      <c r="E157" s="27"/>
      <c r="F157" s="27"/>
      <c r="G157" s="27"/>
      <c r="H157" s="211"/>
      <c r="I157" s="208"/>
      <c r="J157" s="27"/>
      <c r="K157" s="27"/>
      <c r="L157" s="33">
        <f>Gesuch!G155</f>
        <v>7500</v>
      </c>
      <c r="M157" s="24"/>
      <c r="N157" s="1" t="s">
        <v>206</v>
      </c>
    </row>
    <row r="158" spans="1:14" ht="26.25" customHeight="1" thickBot="1" x14ac:dyDescent="0.35">
      <c r="A158" s="25"/>
      <c r="B158" s="35" t="s">
        <v>52</v>
      </c>
      <c r="C158" s="35"/>
      <c r="D158" s="35"/>
      <c r="E158" s="35"/>
      <c r="F158" s="35"/>
      <c r="G158" s="35"/>
      <c r="H158" s="212">
        <f>Gesuch!G156</f>
        <v>0</v>
      </c>
      <c r="I158" s="213"/>
      <c r="J158" s="35"/>
      <c r="K158" s="35"/>
      <c r="L158" s="36" t="e">
        <f>IF(L157&gt;L156,0,L156)</f>
        <v>#DIV/0!</v>
      </c>
      <c r="M158" s="24"/>
      <c r="N158" s="1" t="s">
        <v>72</v>
      </c>
    </row>
    <row r="159" spans="1:14" ht="9" customHeight="1" thickTop="1" x14ac:dyDescent="0.3">
      <c r="A159" s="25"/>
      <c r="B159" s="24"/>
      <c r="C159" s="24"/>
      <c r="D159" s="24"/>
      <c r="E159" s="24"/>
      <c r="F159" s="24"/>
      <c r="G159" s="24"/>
      <c r="H159" s="24"/>
      <c r="I159" s="24"/>
      <c r="J159" s="24"/>
      <c r="K159" s="24"/>
      <c r="L159" s="24"/>
      <c r="M159" s="24"/>
    </row>
    <row r="160" spans="1:14" ht="26.25" customHeight="1" x14ac:dyDescent="0.3">
      <c r="A160" s="34" t="s">
        <v>50</v>
      </c>
      <c r="B160" s="241" t="s">
        <v>51</v>
      </c>
      <c r="C160" s="241"/>
      <c r="D160" s="241"/>
      <c r="E160" s="241"/>
      <c r="F160" s="241"/>
      <c r="G160" s="241"/>
      <c r="H160" s="241"/>
      <c r="I160" s="241"/>
      <c r="J160" s="241"/>
      <c r="K160" s="241"/>
      <c r="L160" s="241"/>
      <c r="M160" s="24"/>
      <c r="N160" s="1" t="s">
        <v>207</v>
      </c>
    </row>
    <row r="161" spans="1:15" ht="16.5" customHeight="1" x14ac:dyDescent="0.3">
      <c r="A161" s="25"/>
      <c r="B161" s="24"/>
      <c r="C161" s="24"/>
      <c r="D161" s="24"/>
      <c r="E161" s="24"/>
      <c r="F161" s="24"/>
      <c r="G161" s="24"/>
      <c r="H161" s="24"/>
      <c r="I161" s="24"/>
      <c r="J161" s="24"/>
      <c r="K161" s="24"/>
      <c r="L161" s="24"/>
      <c r="M161" s="24"/>
    </row>
    <row r="162" spans="1:15" ht="16.5" customHeight="1" x14ac:dyDescent="0.3">
      <c r="A162" s="25"/>
      <c r="B162" s="24"/>
      <c r="C162" s="24"/>
      <c r="D162" s="24"/>
      <c r="E162" s="24"/>
      <c r="F162" s="24"/>
      <c r="G162" s="24"/>
      <c r="H162" s="24"/>
      <c r="I162" s="24"/>
      <c r="J162" s="24"/>
      <c r="K162" s="24"/>
      <c r="L162" s="24"/>
      <c r="M162" s="24"/>
    </row>
    <row r="163" spans="1:15" ht="16.5" customHeight="1" x14ac:dyDescent="0.3">
      <c r="A163" s="25" t="s">
        <v>61</v>
      </c>
      <c r="B163" s="24"/>
      <c r="C163" s="24"/>
      <c r="D163" s="24"/>
      <c r="E163" s="24"/>
      <c r="F163" s="24"/>
      <c r="G163" s="24"/>
      <c r="H163" s="24"/>
      <c r="I163" s="24"/>
      <c r="J163" s="24"/>
      <c r="K163" s="24"/>
      <c r="L163" s="24"/>
      <c r="M163" s="24"/>
    </row>
    <row r="164" spans="1:15" ht="16.5" customHeight="1" x14ac:dyDescent="0.3">
      <c r="A164" s="25"/>
      <c r="B164" s="199" t="str">
        <f>IF(Datensatz!BV2=TRUE,"j","")</f>
        <v/>
      </c>
      <c r="C164" s="24" t="s">
        <v>209</v>
      </c>
      <c r="D164" s="24"/>
      <c r="E164" s="24"/>
      <c r="F164" s="24"/>
      <c r="G164" s="24"/>
      <c r="H164" s="24"/>
      <c r="I164" s="24"/>
      <c r="J164" s="24"/>
      <c r="K164" s="197"/>
      <c r="L164" s="24" t="str">
        <f>IF(K164="j","erfüllt",IF(K164="n","nicht erfüllt",""))</f>
        <v/>
      </c>
      <c r="M164" s="24"/>
      <c r="O164" s="1" t="s">
        <v>37</v>
      </c>
    </row>
    <row r="165" spans="1:15" ht="16.5" customHeight="1" x14ac:dyDescent="0.3">
      <c r="A165" s="25"/>
      <c r="B165" s="199" t="str">
        <f>IF(Datensatz!BW2=TRUE,"j","")</f>
        <v/>
      </c>
      <c r="C165" s="24" t="s">
        <v>460</v>
      </c>
      <c r="D165" s="24"/>
      <c r="E165" s="24"/>
      <c r="F165" s="24"/>
      <c r="G165" s="24"/>
      <c r="H165" s="24"/>
      <c r="I165" s="24"/>
      <c r="J165" s="24"/>
      <c r="K165" s="197"/>
      <c r="L165" s="24" t="str">
        <f>IF(K165="j","erfüllt",IF(K165="n","nicht erfüllt",""))</f>
        <v/>
      </c>
      <c r="M165" s="24"/>
      <c r="O165" s="1" t="s">
        <v>37</v>
      </c>
    </row>
    <row r="166" spans="1:15" ht="16.5" customHeight="1" x14ac:dyDescent="0.3">
      <c r="A166" s="25"/>
      <c r="B166" s="199" t="str">
        <f>IF(Datensatz!BX2=TRUE,"j","")</f>
        <v/>
      </c>
      <c r="C166" s="24" t="s">
        <v>210</v>
      </c>
      <c r="D166" s="24"/>
      <c r="E166" s="24"/>
      <c r="F166" s="24"/>
      <c r="G166" s="24"/>
      <c r="H166" s="24"/>
      <c r="I166" s="24"/>
      <c r="J166" s="24"/>
      <c r="K166" s="197"/>
      <c r="L166" s="24" t="str">
        <f>IF(K166="j","erfüllt",IF(K166="n","nicht erfüllt",""))</f>
        <v/>
      </c>
      <c r="M166" s="24"/>
      <c r="O166" s="1" t="s">
        <v>211</v>
      </c>
    </row>
    <row r="167" spans="1:15" ht="16.5" customHeight="1" x14ac:dyDescent="0.3">
      <c r="A167" s="25"/>
      <c r="B167" s="199" t="str">
        <f>IF(Datensatz!BY2=TRUE,"j","")</f>
        <v/>
      </c>
      <c r="C167" s="24" t="s">
        <v>431</v>
      </c>
      <c r="D167" s="24"/>
      <c r="E167" s="24"/>
      <c r="F167" s="24"/>
      <c r="G167" s="24"/>
      <c r="H167" s="24"/>
      <c r="I167" s="24"/>
      <c r="J167" s="24"/>
      <c r="K167" s="197"/>
      <c r="L167" s="24"/>
      <c r="M167" s="24"/>
    </row>
    <row r="168" spans="1:15" ht="16.5" customHeight="1" x14ac:dyDescent="0.3">
      <c r="A168" s="25"/>
      <c r="B168" s="199" t="str">
        <f>IF(Datensatz!BZ2=TRUE,"j","")</f>
        <v/>
      </c>
      <c r="C168" s="24" t="s">
        <v>421</v>
      </c>
      <c r="D168" s="24"/>
      <c r="E168" s="24"/>
      <c r="F168" s="24"/>
      <c r="G168" s="24"/>
      <c r="H168" s="24"/>
      <c r="I168" s="24"/>
      <c r="J168" s="24"/>
      <c r="K168" s="197"/>
      <c r="L168" s="24" t="str">
        <f>IF(K168="j","erfüllt",IF(K168="n","nicht erfüllt",""))</f>
        <v/>
      </c>
      <c r="M168" s="24"/>
    </row>
    <row r="169" spans="1:15" ht="16.5" customHeight="1" x14ac:dyDescent="0.3">
      <c r="A169" s="25"/>
      <c r="B169" s="199" t="str">
        <f>IF(Datensatz!CA2=TRUE,"j","")</f>
        <v/>
      </c>
      <c r="C169" s="24" t="s">
        <v>442</v>
      </c>
      <c r="D169" s="24"/>
      <c r="E169" s="24"/>
      <c r="F169" s="24"/>
      <c r="G169" s="24"/>
      <c r="H169" s="24"/>
      <c r="I169" s="24"/>
      <c r="J169" s="24"/>
      <c r="K169" s="197"/>
      <c r="L169" s="24"/>
      <c r="M169" s="24"/>
    </row>
    <row r="170" spans="1:15" ht="16.5" customHeight="1" x14ac:dyDescent="0.3">
      <c r="A170" s="25"/>
      <c r="B170" s="199" t="str">
        <f>IF(Datensatz!CB2=TRUE,"j","")</f>
        <v/>
      </c>
      <c r="C170" s="24" t="s">
        <v>430</v>
      </c>
      <c r="D170" s="24"/>
      <c r="E170" s="24"/>
      <c r="F170" s="24"/>
      <c r="G170" s="24"/>
      <c r="H170" s="24"/>
      <c r="I170" s="24"/>
      <c r="J170" s="24"/>
      <c r="K170" s="197"/>
      <c r="L170" s="214" t="str">
        <f>IF(AND(Datensatz!M3=TRUE,Datensatz!CB3=FALSE),"Vollmacht fehlt!","")</f>
        <v/>
      </c>
      <c r="M170" s="24"/>
    </row>
    <row r="171" spans="1:15" ht="16.5" customHeight="1" x14ac:dyDescent="0.3">
      <c r="A171" s="25"/>
      <c r="B171" s="124"/>
      <c r="C171" s="24"/>
      <c r="D171" s="24"/>
      <c r="E171" s="24"/>
      <c r="F171" s="24"/>
      <c r="G171" s="24"/>
      <c r="H171" s="24"/>
      <c r="I171" s="24"/>
      <c r="J171" s="24"/>
      <c r="K171" s="24"/>
      <c r="L171" s="24"/>
      <c r="M171" s="24"/>
    </row>
    <row r="172" spans="1:15" ht="16.5" customHeight="1" x14ac:dyDescent="0.3">
      <c r="A172" s="25" t="s">
        <v>196</v>
      </c>
      <c r="B172" s="124"/>
      <c r="C172" s="24"/>
      <c r="D172" s="24"/>
      <c r="E172" s="24"/>
      <c r="F172" s="24"/>
      <c r="G172" s="24"/>
      <c r="H172" s="24"/>
      <c r="I172" s="24"/>
      <c r="J172" s="24"/>
      <c r="K172" s="24"/>
      <c r="L172" s="24"/>
      <c r="M172" s="24"/>
    </row>
    <row r="173" spans="1:15" ht="16.5" customHeight="1" x14ac:dyDescent="0.3">
      <c r="A173" s="25"/>
      <c r="B173" s="199" t="str">
        <f>IF(Datensatz!CC2=TRUE,"j","")</f>
        <v/>
      </c>
      <c r="C173" s="24" t="s">
        <v>461</v>
      </c>
      <c r="D173" s="24"/>
      <c r="E173" s="24"/>
      <c r="F173" s="24"/>
      <c r="G173" s="24"/>
      <c r="H173" s="24"/>
      <c r="I173" s="24"/>
      <c r="J173" s="24"/>
      <c r="K173" s="197"/>
      <c r="L173" s="24" t="str">
        <f>IF(K173="j","erfüllt",IF(K173="n","nicht erfüllt",""))</f>
        <v/>
      </c>
      <c r="M173" s="24"/>
    </row>
    <row r="174" spans="1:15" ht="16.5" customHeight="1" x14ac:dyDescent="0.3">
      <c r="A174" s="25"/>
      <c r="B174" s="199" t="str">
        <f>IF(Datensatz!CD2=TRUE,"j","")</f>
        <v/>
      </c>
      <c r="C174" s="24" t="s">
        <v>352</v>
      </c>
      <c r="D174" s="24"/>
      <c r="E174" s="24"/>
      <c r="F174" s="24"/>
      <c r="G174" s="24"/>
      <c r="H174" s="24"/>
      <c r="I174" s="24"/>
      <c r="J174" s="24"/>
      <c r="K174" s="197"/>
      <c r="L174" s="24" t="str">
        <f>IF(K174="j","erfüllt",IF(K174="n","nicht erfüllt",""))</f>
        <v/>
      </c>
      <c r="M174" s="24"/>
    </row>
    <row r="175" spans="1:15" ht="16.5" customHeight="1" x14ac:dyDescent="0.3">
      <c r="A175" s="25"/>
      <c r="B175" s="199" t="str">
        <f>IF(Datensatz!CE2=TRUE,"j","")</f>
        <v/>
      </c>
      <c r="C175" s="24" t="s">
        <v>353</v>
      </c>
      <c r="D175" s="24"/>
      <c r="E175" s="24"/>
      <c r="F175" s="24"/>
      <c r="G175" s="24"/>
      <c r="H175" s="24"/>
      <c r="I175" s="24"/>
      <c r="J175" s="24"/>
      <c r="K175" s="197"/>
      <c r="L175" s="24" t="str">
        <f>IF(K175="j","erfüllt",IF(K175="n","nicht erfüllt",""))</f>
        <v/>
      </c>
      <c r="M175" s="24"/>
    </row>
    <row r="176" spans="1:15" ht="16.5" customHeight="1" x14ac:dyDescent="0.3">
      <c r="A176" s="25"/>
      <c r="B176" s="25"/>
      <c r="C176" s="24"/>
      <c r="D176" s="24"/>
      <c r="E176" s="24"/>
      <c r="F176" s="24"/>
      <c r="G176" s="24"/>
      <c r="H176" s="24"/>
      <c r="I176" s="24"/>
      <c r="J176" s="24"/>
      <c r="K176" s="24"/>
      <c r="L176" s="24"/>
      <c r="M176" s="24"/>
    </row>
    <row r="177" spans="1:22" ht="15.75" customHeight="1" thickBot="1" x14ac:dyDescent="0.35">
      <c r="A177" s="94" t="s">
        <v>454</v>
      </c>
      <c r="B177" s="24"/>
      <c r="C177" s="24"/>
      <c r="D177" s="24"/>
      <c r="E177" s="24"/>
      <c r="F177" s="24"/>
      <c r="G177" s="24"/>
      <c r="H177" s="24"/>
      <c r="I177" s="24"/>
      <c r="J177" s="24"/>
      <c r="K177" s="24"/>
      <c r="L177" s="24"/>
      <c r="M177" s="24"/>
    </row>
    <row r="178" spans="1:22" ht="14.4" thickBot="1" x14ac:dyDescent="0.35">
      <c r="A178" s="86"/>
      <c r="B178" s="24" t="s">
        <v>453</v>
      </c>
      <c r="C178" s="24"/>
      <c r="D178" s="24"/>
      <c r="E178" s="24">
        <f>Datensatz!CF2</f>
        <v>0</v>
      </c>
      <c r="F178" s="24"/>
      <c r="G178" s="24"/>
      <c r="H178" s="24"/>
      <c r="I178" s="24"/>
      <c r="J178" s="238"/>
      <c r="K178" s="239"/>
      <c r="L178" s="240"/>
      <c r="M178" s="24"/>
    </row>
    <row r="179" spans="1:22" ht="14.4" thickBot="1" x14ac:dyDescent="0.35">
      <c r="A179" s="86"/>
      <c r="B179" s="24" t="s">
        <v>213</v>
      </c>
      <c r="C179" s="24"/>
      <c r="D179" s="24"/>
      <c r="E179" s="24">
        <f>Datensatz!CG2</f>
        <v>0</v>
      </c>
      <c r="F179" s="24"/>
      <c r="G179" s="24"/>
      <c r="H179" s="24"/>
      <c r="I179" s="24"/>
      <c r="J179" s="230"/>
      <c r="K179" s="231"/>
      <c r="L179" s="232"/>
      <c r="M179" s="24"/>
    </row>
    <row r="180" spans="1:22" ht="14.4" thickBot="1" x14ac:dyDescent="0.35">
      <c r="A180" s="86"/>
      <c r="B180" s="24" t="s">
        <v>214</v>
      </c>
      <c r="C180" s="24"/>
      <c r="D180" s="24"/>
      <c r="E180" s="24">
        <f>Datensatz!CH2</f>
        <v>0</v>
      </c>
      <c r="F180" s="24"/>
      <c r="G180" s="24"/>
      <c r="H180" s="24"/>
      <c r="I180" s="24"/>
      <c r="J180" s="233"/>
      <c r="K180" s="234"/>
      <c r="L180" s="235"/>
      <c r="M180" s="24"/>
    </row>
    <row r="181" spans="1:22" ht="26.25" customHeight="1" thickBot="1" x14ac:dyDescent="0.35">
      <c r="A181" s="86"/>
      <c r="B181" s="91" t="s">
        <v>215</v>
      </c>
      <c r="C181" s="24"/>
      <c r="D181" s="24"/>
      <c r="E181" s="91">
        <f>Datensatz!CI2</f>
        <v>0</v>
      </c>
      <c r="F181" s="24"/>
      <c r="G181" s="24"/>
      <c r="H181" s="24"/>
      <c r="I181" s="24"/>
      <c r="J181" s="233"/>
      <c r="K181" s="234"/>
      <c r="L181" s="235"/>
      <c r="M181" s="24"/>
    </row>
    <row r="182" spans="1:22" ht="20.25" customHeight="1" x14ac:dyDescent="0.3">
      <c r="A182" s="92" t="str">
        <f>IF(LEFT(E180,2)="CH","","Auszahlungen erfolgen ausschliesslich auf Schweizer Bankkonti.")</f>
        <v>Auszahlungen erfolgen ausschliesslich auf Schweizer Bankkonti.</v>
      </c>
      <c r="B182" s="24"/>
      <c r="C182" s="24"/>
      <c r="D182" s="24"/>
      <c r="E182" s="24"/>
      <c r="F182" s="24"/>
      <c r="G182" s="24"/>
      <c r="H182" s="24"/>
      <c r="I182" s="24"/>
      <c r="J182" s="24"/>
      <c r="K182" s="24"/>
      <c r="L182" s="125" t="str">
        <f>IF(OR(LEFT(J180,2)="CH",J180=""),"","Auszahlungen erfolgen ausschliesslich auf Schweizer Bankkonti.")</f>
        <v/>
      </c>
      <c r="M182" s="24"/>
    </row>
    <row r="183" spans="1:22" s="5" customFormat="1" ht="20.25" customHeight="1" thickBot="1" x14ac:dyDescent="0.35">
      <c r="A183" s="92"/>
      <c r="B183" s="25" t="str">
        <f>"Bemerkungen "&amp;J6</f>
        <v xml:space="preserve">Bemerkungen </v>
      </c>
      <c r="C183" s="25"/>
      <c r="D183" s="25"/>
      <c r="E183" s="25"/>
      <c r="F183" s="25"/>
      <c r="G183" s="25"/>
      <c r="H183" s="25"/>
      <c r="I183" s="25"/>
      <c r="J183" s="25" t="str">
        <f>"Bemerkungen "&amp;J7</f>
        <v xml:space="preserve">Bemerkungen </v>
      </c>
      <c r="K183" s="25"/>
      <c r="L183" s="125"/>
      <c r="M183" s="25"/>
    </row>
    <row r="184" spans="1:22" ht="61.5" customHeight="1" thickBot="1" x14ac:dyDescent="0.35">
      <c r="A184" s="92"/>
      <c r="B184" s="265"/>
      <c r="C184" s="266"/>
      <c r="D184" s="266"/>
      <c r="E184" s="266"/>
      <c r="F184" s="266"/>
      <c r="G184" s="266"/>
      <c r="H184" s="267"/>
      <c r="I184" s="24"/>
      <c r="J184" s="265"/>
      <c r="K184" s="266"/>
      <c r="L184" s="267"/>
      <c r="M184" s="24"/>
      <c r="V184" s="1" t="str">
        <f>IF(B184="","["&amp;B183&amp;"]","")</f>
        <v>[Bemerkungen ]</v>
      </c>
    </row>
    <row r="185" spans="1:22" ht="20.25" customHeight="1" x14ac:dyDescent="0.3">
      <c r="A185" s="92"/>
      <c r="B185" s="24"/>
      <c r="C185" s="24"/>
      <c r="D185" s="24"/>
      <c r="E185" s="24"/>
      <c r="F185" s="24"/>
      <c r="G185" s="24"/>
      <c r="H185" s="24"/>
      <c r="I185" s="24"/>
      <c r="J185" s="24"/>
      <c r="K185" s="24"/>
      <c r="L185" s="125"/>
      <c r="M185" s="24"/>
      <c r="V185" s="1" t="str">
        <f>IF(J184="","["&amp;J183&amp;"]","")</f>
        <v>[Bemerkungen ]</v>
      </c>
    </row>
    <row r="186" spans="1:22" ht="40.5" customHeight="1" x14ac:dyDescent="0.3">
      <c r="A186" s="92"/>
      <c r="B186" s="268" t="str">
        <f>"  Entscheid:                  "&amp;N186</f>
        <v xml:space="preserve">  Entscheid:                  1</v>
      </c>
      <c r="C186" s="268"/>
      <c r="D186" s="268"/>
      <c r="E186" s="268"/>
      <c r="F186" s="24"/>
      <c r="G186" s="24"/>
      <c r="H186" s="128"/>
      <c r="I186" s="24"/>
      <c r="J186" s="24"/>
      <c r="K186" s="24"/>
      <c r="L186" s="24"/>
      <c r="M186" s="125" t="e">
        <f>IF(AND(N186=4,L158&lt;&gt;Gesuch!G156),"Gegenüber dem Antrag wurden beitragsbestimmende Änderungen vorgenommen!  ",IF(AND(N186=5,L158=Gesuch!G156),"Gegenüber dem Antrag wurden keine beitragsbestimmenden Änderungen vorgenommen!  ",""))</f>
        <v>#DIV/0!</v>
      </c>
      <c r="N186" s="141">
        <v>1</v>
      </c>
      <c r="O186" s="1">
        <f>VLOOKUP(Prüfer!N186,Referenzen!A88:C92,2)</f>
        <v>0</v>
      </c>
      <c r="V186" s="1" t="str">
        <f>IF(N186=1,"[Entscheid]","")</f>
        <v>[Entscheid]</v>
      </c>
    </row>
    <row r="187" spans="1:22" ht="5.4" customHeight="1" x14ac:dyDescent="0.3">
      <c r="A187" s="92"/>
      <c r="B187" s="173"/>
      <c r="C187" s="173"/>
      <c r="D187" s="173"/>
      <c r="E187" s="173"/>
      <c r="F187" s="24"/>
      <c r="G187" s="24"/>
      <c r="H187" s="128"/>
      <c r="I187" s="24"/>
      <c r="J187" s="24"/>
      <c r="K187" s="24"/>
      <c r="L187" s="24"/>
      <c r="M187" s="125"/>
      <c r="N187" s="141"/>
    </row>
    <row r="188" spans="1:22" ht="24" customHeight="1" x14ac:dyDescent="0.3">
      <c r="A188" s="277" t="str">
        <f>IF(V5&amp;V6&amp;V7&amp;V184&amp;V185&amp;V186="","","Eingabe erwartet in: "&amp;_xlfn.TEXTJOIN(" ",TRUE,V5:V186))</f>
        <v>Eingabe erwartet in: [Fallnummer] [Prüfer 1] [Prüfer 2] [Bemerkungen ] [Bemerkungen ] [Entscheid]</v>
      </c>
      <c r="B188" s="277"/>
      <c r="C188" s="277"/>
      <c r="D188" s="277"/>
      <c r="E188" s="277"/>
      <c r="F188" s="277"/>
      <c r="G188" s="277"/>
      <c r="H188" s="277"/>
      <c r="I188" s="277"/>
      <c r="J188" s="277"/>
      <c r="K188" s="277"/>
      <c r="L188" s="277"/>
      <c r="M188" s="277"/>
    </row>
    <row r="189" spans="1:22" ht="11.4" customHeight="1" x14ac:dyDescent="0.3">
      <c r="A189" s="25"/>
      <c r="B189" s="24"/>
      <c r="C189" s="24"/>
      <c r="D189" s="24"/>
      <c r="E189" s="24"/>
      <c r="F189" s="24"/>
      <c r="G189" s="24"/>
      <c r="H189" s="24"/>
      <c r="I189" s="24"/>
      <c r="J189" s="24"/>
      <c r="K189" s="24"/>
      <c r="L189" s="24"/>
      <c r="M189" s="24"/>
    </row>
    <row r="190" spans="1:22" ht="16.5" customHeight="1" x14ac:dyDescent="0.3">
      <c r="C190" s="47"/>
      <c r="D190" s="47"/>
      <c r="E190" s="47"/>
      <c r="F190" s="47"/>
      <c r="G190" s="47"/>
      <c r="H190" s="47"/>
    </row>
  </sheetData>
  <sheetProtection algorithmName="SHA-512" hashValue="j22vuJLbQHAV0erVtZbqKA0EpXwrfZwtdt62DEiZ7xYk63z+d4kpgdcQdBivmpQa7tINLE14vu2bocIov6wDlg==" saltValue="JrMTx6GG4m/0Ya8HpfYkng==" spinCount="100000" sheet="1" objects="1" scenarios="1"/>
  <mergeCells count="51">
    <mergeCell ref="E107:H107"/>
    <mergeCell ref="A188:M188"/>
    <mergeCell ref="B127:H127"/>
    <mergeCell ref="J127:L127"/>
    <mergeCell ref="A2:M2"/>
    <mergeCell ref="A3:M3"/>
    <mergeCell ref="B98:H98"/>
    <mergeCell ref="J98:L98"/>
    <mergeCell ref="F89:G89"/>
    <mergeCell ref="H95:I95"/>
    <mergeCell ref="B57:L57"/>
    <mergeCell ref="B60:L60"/>
    <mergeCell ref="B63:L63"/>
    <mergeCell ref="B66:L66"/>
    <mergeCell ref="B75:L75"/>
    <mergeCell ref="J9:L9"/>
    <mergeCell ref="J10:L10"/>
    <mergeCell ref="O84:P85"/>
    <mergeCell ref="B85:C85"/>
    <mergeCell ref="B78:H78"/>
    <mergeCell ref="B81:H81"/>
    <mergeCell ref="F88:G88"/>
    <mergeCell ref="J17:L17"/>
    <mergeCell ref="J18:L18"/>
    <mergeCell ref="J20:L20"/>
    <mergeCell ref="J19:L19"/>
    <mergeCell ref="J22:L22"/>
    <mergeCell ref="J23:L23"/>
    <mergeCell ref="J36:L36"/>
    <mergeCell ref="B45:L46"/>
    <mergeCell ref="B43:H43"/>
    <mergeCell ref="J43:L43"/>
    <mergeCell ref="E30:H30"/>
    <mergeCell ref="J30:L30"/>
    <mergeCell ref="F85:G85"/>
    <mergeCell ref="B184:H184"/>
    <mergeCell ref="J184:L184"/>
    <mergeCell ref="B186:E186"/>
    <mergeCell ref="J79:L79"/>
    <mergeCell ref="B82:H82"/>
    <mergeCell ref="J82:L82"/>
    <mergeCell ref="B84:H84"/>
    <mergeCell ref="J181:L181"/>
    <mergeCell ref="B93:L93"/>
    <mergeCell ref="B160:L160"/>
    <mergeCell ref="J178:L178"/>
    <mergeCell ref="J179:L179"/>
    <mergeCell ref="J180:L180"/>
    <mergeCell ref="B79:H79"/>
    <mergeCell ref="B101:H101"/>
    <mergeCell ref="J101:L101"/>
  </mergeCells>
  <conditionalFormatting sqref="A2:M2">
    <cfRule type="notContainsBlanks" dxfId="8" priority="3">
      <formula>LEN(TRIM(A2))&gt;0</formula>
    </cfRule>
  </conditionalFormatting>
  <conditionalFormatting sqref="A3:M3">
    <cfRule type="notContainsBlanks" dxfId="7" priority="2">
      <formula>LEN(TRIM(A3))&gt;0</formula>
    </cfRule>
  </conditionalFormatting>
  <conditionalFormatting sqref="A188:M188">
    <cfRule type="notContainsBlanks" dxfId="6" priority="1">
      <formula>LEN(TRIM(A188))&gt;0</formula>
    </cfRule>
  </conditionalFormatting>
  <conditionalFormatting sqref="B136">
    <cfRule type="cellIs" dxfId="5" priority="37" operator="equal">
      <formula>"j"</formula>
    </cfRule>
  </conditionalFormatting>
  <conditionalFormatting sqref="B171:B172">
    <cfRule type="cellIs" dxfId="4" priority="26" operator="equal">
      <formula>"j"</formula>
    </cfRule>
  </conditionalFormatting>
  <conditionalFormatting sqref="B186:E187">
    <cfRule type="containsText" dxfId="3" priority="19" operator="containsText" text="5">
      <formula>NOT(ISERROR(SEARCH("5",B186)))</formula>
    </cfRule>
    <cfRule type="containsText" dxfId="2" priority="20" operator="containsText" text="4">
      <formula>NOT(ISERROR(SEARCH("4",B186)))</formula>
    </cfRule>
    <cfRule type="containsText" dxfId="1" priority="21" operator="containsText" text="3">
      <formula>NOT(ISERROR(SEARCH("3",B186)))</formula>
    </cfRule>
    <cfRule type="containsText" dxfId="0" priority="22" operator="containsText" text="2">
      <formula>NOT(ISERROR(SEARCH("2",B186)))</formula>
    </cfRule>
  </conditionalFormatting>
  <dataValidations count="3">
    <dataValidation type="whole" operator="greaterThan" allowBlank="1" showInputMessage="1" showErrorMessage="1" promptTitle="Zahl &gt; 0 eingeben" sqref="J110:J111 J118:J119" xr:uid="{7641EC63-28D4-449F-92AF-7FDE295BC9AF}">
      <formula1>0</formula1>
    </dataValidation>
    <dataValidation type="whole" operator="greaterThan" allowBlank="1" showInputMessage="1" showErrorMessage="1" promptTitle="Zahl &gt; 2000" sqref="J104:J105" xr:uid="{BADA2AD6-5869-4435-B6F6-76C6771C18A9}">
      <formula1>2000</formula1>
    </dataValidation>
    <dataValidation type="whole" allowBlank="1" showInputMessage="1" showErrorMessage="1" errorTitle="Fehlerhafte Eingabe" error="Bitte ausschliesslich einen achtstelligen ganzzahligen Wert ohne Text und Formatierungen eingeben." promptTitle="Eingabeformat" prompt="Bitte ausschliesslich einen achtstelligen ganzzahligen Wert ohne Text und Formatierungen eingeben." sqref="J13" xr:uid="{4D13C223-E41F-480F-B655-792C4842E397}">
      <formula1>1000000</formula1>
      <formula2>999999999</formula2>
    </dataValidation>
  </dataValidations>
  <hyperlinks>
    <hyperlink ref="H95" r:id="rId1" xr:uid="{3B9EE539-8D26-4AA7-8364-4F2B36982FCA}"/>
    <hyperlink ref="F85:G85" r:id="rId2" display="Steuergesetzes" xr:uid="{211AC16B-9B9C-417C-A061-12AC0D3825B9}"/>
  </hyperlinks>
  <pageMargins left="0.39370078740157483" right="0.39370078740157483" top="0.39370078740157483" bottom="0.39370078740157483" header="0.51181102362204722" footer="0.51181102362204722"/>
  <pageSetup paperSize="9" scale="66" fitToHeight="0" orientation="portrait" r:id="rId3"/>
  <headerFooter>
    <oddFooter>&amp;A&amp;RSeite &amp;P</oddFooter>
  </headerFooter>
  <rowBreaks count="3" manualBreakCount="3">
    <brk id="34" max="16383" man="1"/>
    <brk id="91" max="16383" man="1"/>
    <brk id="138" max="16383" man="1"/>
  </rowBreaks>
  <drawing r:id="rId4"/>
  <legacyDrawing r:id="rId5"/>
  <mc:AlternateContent xmlns:mc="http://schemas.openxmlformats.org/markup-compatibility/2006">
    <mc:Choice Requires="x14">
      <controls>
        <mc:AlternateContent xmlns:mc="http://schemas.openxmlformats.org/markup-compatibility/2006">
          <mc:Choice Requires="x14">
            <control shapeId="11266" r:id="rId6" name="Drop Down 2">
              <controlPr defaultSize="0" autoLine="0" autoPict="0">
                <anchor moveWithCells="1">
                  <from>
                    <xdr:col>9</xdr:col>
                    <xdr:colOff>0</xdr:colOff>
                    <xdr:row>105</xdr:row>
                    <xdr:rowOff>22860</xdr:rowOff>
                  </from>
                  <to>
                    <xdr:col>10</xdr:col>
                    <xdr:colOff>22860</xdr:colOff>
                    <xdr:row>105</xdr:row>
                    <xdr:rowOff>198120</xdr:rowOff>
                  </to>
                </anchor>
              </controlPr>
            </control>
          </mc:Choice>
        </mc:AlternateContent>
        <mc:AlternateContent xmlns:mc="http://schemas.openxmlformats.org/markup-compatibility/2006">
          <mc:Choice Requires="x14">
            <control shapeId="11267" r:id="rId7" name="Drop Down 3">
              <controlPr defaultSize="0" autoLine="0" autoPict="0">
                <anchor moveWithCells="1">
                  <from>
                    <xdr:col>9</xdr:col>
                    <xdr:colOff>0</xdr:colOff>
                    <xdr:row>106</xdr:row>
                    <xdr:rowOff>22860</xdr:rowOff>
                  </from>
                  <to>
                    <xdr:col>12</xdr:col>
                    <xdr:colOff>175260</xdr:colOff>
                    <xdr:row>107</xdr:row>
                    <xdr:rowOff>0</xdr:rowOff>
                  </to>
                </anchor>
              </controlPr>
            </control>
          </mc:Choice>
        </mc:AlternateContent>
        <mc:AlternateContent xmlns:mc="http://schemas.openxmlformats.org/markup-compatibility/2006">
          <mc:Choice Requires="x14">
            <control shapeId="11271" r:id="rId8" name="Drop Down 7">
              <controlPr defaultSize="0" autoLine="0" autoPict="0">
                <anchor moveWithCells="1">
                  <from>
                    <xdr:col>8</xdr:col>
                    <xdr:colOff>137160</xdr:colOff>
                    <xdr:row>93</xdr:row>
                    <xdr:rowOff>121920</xdr:rowOff>
                  </from>
                  <to>
                    <xdr:col>11</xdr:col>
                    <xdr:colOff>335280</xdr:colOff>
                    <xdr:row>94</xdr:row>
                    <xdr:rowOff>198120</xdr:rowOff>
                  </to>
                </anchor>
              </controlPr>
            </control>
          </mc:Choice>
        </mc:AlternateContent>
        <mc:AlternateContent xmlns:mc="http://schemas.openxmlformats.org/markup-compatibility/2006">
          <mc:Choice Requires="x14">
            <control shapeId="11272" r:id="rId9" name="Drop Down 8">
              <controlPr defaultSize="0" autoLine="0" autoPict="0">
                <anchor moveWithCells="1">
                  <from>
                    <xdr:col>2</xdr:col>
                    <xdr:colOff>731520</xdr:colOff>
                    <xdr:row>185</xdr:row>
                    <xdr:rowOff>152400</xdr:rowOff>
                  </from>
                  <to>
                    <xdr:col>4</xdr:col>
                    <xdr:colOff>1554480</xdr:colOff>
                    <xdr:row>185</xdr:row>
                    <xdr:rowOff>381000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35EEC-2065-4BCA-A3A2-7A50A5EAA9CE}">
  <sheetPr>
    <tabColor rgb="FFFF0000"/>
  </sheetPr>
  <dimension ref="A1:F16"/>
  <sheetViews>
    <sheetView workbookViewId="0">
      <selection activeCell="E6" sqref="E6:G6"/>
    </sheetView>
  </sheetViews>
  <sheetFormatPr baseColWidth="10" defaultRowHeight="15.6" x14ac:dyDescent="0.3"/>
  <cols>
    <col min="1" max="1" width="3.3984375" style="105" customWidth="1"/>
    <col min="2" max="2" width="111.59765625" style="105" customWidth="1"/>
    <col min="3" max="16384" width="11.19921875" style="105"/>
  </cols>
  <sheetData>
    <row r="1" spans="1:6" x14ac:dyDescent="0.3">
      <c r="B1" s="218">
        <f>Datensatz!P3</f>
        <v>0</v>
      </c>
    </row>
    <row r="4" spans="1:6" x14ac:dyDescent="0.3">
      <c r="A4" s="135"/>
      <c r="B4" s="219" t="str">
        <f>"Ablehnung Ihres Antrags auf einen GSE-Förderbeitrag (Referenz: "&amp;Datensatz!A3&amp;")"</f>
        <v>Ablehnung Ihres Antrags auf einen GSE-Förderbeitrag (Referenz: )</v>
      </c>
    </row>
    <row r="7" spans="1:6" x14ac:dyDescent="0.3">
      <c r="A7" s="135"/>
      <c r="B7" s="220" t="str">
        <f>IF(Datensatz!I3="Herr","Sehr geehrter Herr ",IF(Datensatz!I3="Frau","Sehr geehrte Frau ","Sehr geehrte/r "))&amp;Datensatz!J3</f>
        <v>Sehr geehrte/r 0</v>
      </c>
    </row>
    <row r="8" spans="1:6" x14ac:dyDescent="0.3">
      <c r="A8" s="135"/>
      <c r="B8" s="220"/>
    </row>
    <row r="9" spans="1:6" ht="15.6" customHeight="1" x14ac:dyDescent="0.3">
      <c r="A9" s="135"/>
      <c r="B9" s="220" t="s">
        <v>339</v>
      </c>
      <c r="C9" s="217" t="s">
        <v>345</v>
      </c>
    </row>
    <row r="10" spans="1:6" x14ac:dyDescent="0.3">
      <c r="A10" s="135"/>
      <c r="B10" s="220"/>
      <c r="C10" s="217"/>
    </row>
    <row r="11" spans="1:6" x14ac:dyDescent="0.3">
      <c r="A11" s="135"/>
      <c r="B11" s="221" t="s">
        <v>366</v>
      </c>
    </row>
    <row r="12" spans="1:6" ht="46.8" x14ac:dyDescent="0.3">
      <c r="A12" s="135"/>
      <c r="B12" s="220" t="s">
        <v>393</v>
      </c>
      <c r="F12" s="217"/>
    </row>
    <row r="13" spans="1:6" x14ac:dyDescent="0.3">
      <c r="A13" s="135"/>
      <c r="B13" s="220"/>
    </row>
    <row r="14" spans="1:6" x14ac:dyDescent="0.3">
      <c r="A14" s="135"/>
      <c r="B14" s="220" t="s">
        <v>340</v>
      </c>
    </row>
    <row r="15" spans="1:6" x14ac:dyDescent="0.3">
      <c r="A15" s="135"/>
      <c r="B15" s="220"/>
    </row>
    <row r="16" spans="1:6" x14ac:dyDescent="0.3">
      <c r="A16" s="135"/>
      <c r="B16" s="220" t="s">
        <v>336</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A10E-B3A4-4FBB-90DE-4EFF77C0779A}">
  <sheetPr>
    <tabColor rgb="FFFFC000"/>
  </sheetPr>
  <dimension ref="A1:G21"/>
  <sheetViews>
    <sheetView workbookViewId="0">
      <selection activeCell="E6" sqref="E6:G6"/>
    </sheetView>
  </sheetViews>
  <sheetFormatPr baseColWidth="10" defaultRowHeight="15.6" x14ac:dyDescent="0.3"/>
  <cols>
    <col min="1" max="1" width="3.3984375" style="105" customWidth="1"/>
    <col min="2" max="2" width="98.3984375" style="225" customWidth="1"/>
    <col min="3" max="16384" width="11.19921875" style="105"/>
  </cols>
  <sheetData>
    <row r="1" spans="1:7" x14ac:dyDescent="0.3">
      <c r="B1" s="220">
        <f>Datensatz!P3</f>
        <v>0</v>
      </c>
    </row>
    <row r="4" spans="1:7" x14ac:dyDescent="0.3">
      <c r="A4" s="133"/>
      <c r="B4" s="221" t="str">
        <f>"Ihr Antrag auf einen GSE-Förderbeitrag (Referenz: "&amp;Datensatz!A3&amp;")"</f>
        <v>Ihr Antrag auf einen GSE-Förderbeitrag (Referenz: )</v>
      </c>
    </row>
    <row r="7" spans="1:7" x14ac:dyDescent="0.3">
      <c r="A7" s="133"/>
      <c r="B7" s="220" t="str">
        <f>IF(Datensatz!I3="Herr","Sehr geehrter Herr ",IF(Datensatz!I3="Frau","Sehr geehrte Frau ","Sehr geehrte/r "))&amp;Datensatz!J3</f>
        <v>Sehr geehrte/r 0</v>
      </c>
    </row>
    <row r="8" spans="1:7" x14ac:dyDescent="0.3">
      <c r="A8" s="133"/>
      <c r="B8" s="220"/>
    </row>
    <row r="9" spans="1:7" ht="31.2" x14ac:dyDescent="0.3">
      <c r="A9" s="133"/>
      <c r="B9" s="220" t="s">
        <v>335</v>
      </c>
    </row>
    <row r="10" spans="1:7" x14ac:dyDescent="0.3">
      <c r="A10" s="133"/>
      <c r="B10" s="220"/>
    </row>
    <row r="11" spans="1:7" x14ac:dyDescent="0.3">
      <c r="A11" s="133"/>
      <c r="B11" s="220" t="str">
        <f>"In der Beilage erhalten Sie Ihr bereits ausgefülltes Formular zurück. "&amp;Gesuch!A191</f>
        <v>In der Beilage erhalten Sie Ihr bereits ausgefülltes Formular zurück. Bitte ergänzen Sie folgende leeren Felder: [Name des Unternehmens] [Im Kanton Zug steuerpflichtig in] [UID] [Personen-Nr.] [Name] [Vorname] [Funktion (Vertretung: Vollmacht beilegen)] [Strasse, Nr.] [PLZ] [Ort] [E-Mail (für Rückfragen und Entscheidkommunikation)] [Telefon-Nr.] [Umsatz in CHF] [Personalstellen in Vollzeitäquivalenten Ende 2025] [Gesamter Personalaufwand im Kanton Zug 2025] [Unternehmenszweck (kurz gefasst)] [Kreuzen Sie an, wofür Sie ein Fördergesuch einreichen.] [Branchen-Cluster] [Inventar beruht auf Standard (gem. § 3 Abs. 1 SEVO)] [Revisionsunternehmen gemäss § 4 Abs. 2 SEVO] [Bestätigung Treibhausgasinventar] [Bestätigung keine Offsets] [Bestätigung branchenübliche Messgrösse] [Bestätigung Beleg der Emissionsintensität] [Berechnungsübersicht] [Beleg mit Basisdaten] [Betreibungsregisterauszug] [Keine staatlichen Fördermittel bezogen] [Rückerstattungspflicht zur Kenntnis genommen] [Keine finanziellen Ausstände] [Name der Bank] [Ort der Bank] [IBAN] [Konto lautend auf]</v>
      </c>
    </row>
    <row r="12" spans="1:7" x14ac:dyDescent="0.3">
      <c r="A12" s="133"/>
      <c r="B12" s="220"/>
    </row>
    <row r="13" spans="1:7" x14ac:dyDescent="0.3">
      <c r="A13" s="133"/>
      <c r="B13" s="220" t="s">
        <v>337</v>
      </c>
      <c r="G13" s="217"/>
    </row>
    <row r="14" spans="1:7" x14ac:dyDescent="0.3">
      <c r="A14" s="133"/>
      <c r="B14" s="220"/>
    </row>
    <row r="15" spans="1:7" ht="46.8" x14ac:dyDescent="0.3">
      <c r="A15" s="133"/>
      <c r="B15" s="220" t="str">
        <f>"Damit wir bei Rückfragen und der weiteren Bearbeitung Ihres Antrags Sie möglichst effizient und kompetent bedienen können, nennen Sie uns am Telefon oder in der Korrespondenz bitte jeweils die Referenz Ihres Antrags. Sie lautet: "&amp;Datensatz!A3&amp;"."</f>
        <v>Damit wir bei Rückfragen und der weiteren Bearbeitung Ihres Antrags Sie möglichst effizient und kompetent bedienen können, nennen Sie uns am Telefon oder in der Korrespondenz bitte jeweils die Referenz Ihres Antrags. Sie lautet: .</v>
      </c>
    </row>
    <row r="16" spans="1:7" x14ac:dyDescent="0.3">
      <c r="A16" s="133"/>
      <c r="B16" s="220"/>
    </row>
    <row r="17" spans="1:2" ht="62.4" customHeight="1" x14ac:dyDescent="0.3">
      <c r="A17" s="133"/>
      <c r="B17" s="220" t="str">
        <f ca="1">"Wir ersuchen Sie, uns bis spätestens zum "&amp;TEXT(TODAY()+14,"tt. MMMM JJJJ")&amp;" die obgenannten Informationen/Unterlagen einzureichen. Wenn Sie uns bis zu diesem Zeitpunkt die obgenannten Informationen/Unterlagen liefern, können wir den Antrag weiterbearbeiten. "&amp;"Falls uns die geforderten Informationen/Unterlagen bis zu diesem Zeitpunkt nicht vorliegen, werden wir auf Grund der Akten entscheiden oder die Erhebungen einstellen und auf Ihren Antrag nicht eintreten."</f>
        <v>Wir ersuchen Sie, uns bis spätestens zum 12. März 2026 die obgenannten Informationen/Unterlagen einzureichen. Wenn Sie uns bis zu diesem Zeitpunkt die obgenannten Informationen/Unterlagen liefern, können wir den Antrag weiterbearbeiten. Falls uns die geforderten Informationen/Unterlagen bis zu diesem Zeitpunkt nicht vorliegen, werden wir auf Grund der Akten entscheiden oder die Erhebungen einstellen und auf Ihren Antrag nicht eintreten.</v>
      </c>
    </row>
    <row r="18" spans="1:2" x14ac:dyDescent="0.3">
      <c r="A18" s="133"/>
      <c r="B18" s="220"/>
    </row>
    <row r="19" spans="1:2" ht="15.6" customHeight="1" x14ac:dyDescent="0.3">
      <c r="A19" s="133"/>
      <c r="B19" s="220" t="s">
        <v>392</v>
      </c>
    </row>
    <row r="20" spans="1:2" x14ac:dyDescent="0.3">
      <c r="A20" s="133"/>
      <c r="B20" s="220"/>
    </row>
    <row r="21" spans="1:2" x14ac:dyDescent="0.3">
      <c r="A21" s="133"/>
      <c r="B21" s="220" t="s">
        <v>336</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2DE99-9BDA-4C32-BBDF-D8684D82CDD6}">
  <sheetPr>
    <tabColor rgb="FF00B050"/>
  </sheetPr>
  <dimension ref="A1:C36"/>
  <sheetViews>
    <sheetView workbookViewId="0">
      <selection activeCell="E6" sqref="E6:G6"/>
    </sheetView>
  </sheetViews>
  <sheetFormatPr baseColWidth="10" defaultRowHeight="15.6" x14ac:dyDescent="0.3"/>
  <cols>
    <col min="1" max="1" width="3.3984375" style="105" customWidth="1"/>
    <col min="2" max="2" width="94.19921875" style="105" customWidth="1"/>
    <col min="3" max="16384" width="11.19921875" style="105"/>
  </cols>
  <sheetData>
    <row r="1" spans="1:2" x14ac:dyDescent="0.3">
      <c r="B1" s="218">
        <f>Datensatz!P3</f>
        <v>0</v>
      </c>
    </row>
    <row r="4" spans="1:2" x14ac:dyDescent="0.3">
      <c r="A4" s="134"/>
      <c r="B4" s="219" t="str">
        <f>"Gutheissung Ihres Antrags auf einen GSE-Förderbeitrag (Referenz: "&amp;Datensatz!A3&amp;")"</f>
        <v>Gutheissung Ihres Antrags auf einen GSE-Förderbeitrag (Referenz: )</v>
      </c>
    </row>
    <row r="5" spans="1:2" x14ac:dyDescent="0.3">
      <c r="A5" s="134"/>
    </row>
    <row r="6" spans="1:2" x14ac:dyDescent="0.3">
      <c r="A6" s="134"/>
    </row>
    <row r="7" spans="1:2" x14ac:dyDescent="0.3">
      <c r="A7" s="134"/>
      <c r="B7" s="220" t="str">
        <f>IF(Datensatz!I3="Herr","Sehr geehrter Herr ",IF(Datensatz!I3="Frau","Sehr geehrte Frau ","Sehr geehrte/r "))&amp;Datensatz!J3</f>
        <v>Sehr geehrte/r 0</v>
      </c>
    </row>
    <row r="8" spans="1:2" x14ac:dyDescent="0.3">
      <c r="A8" s="134"/>
      <c r="B8" s="220"/>
    </row>
    <row r="9" spans="1:2" ht="46.8" x14ac:dyDescent="0.3">
      <c r="A9" s="134"/>
      <c r="B9" s="220" t="e">
        <f>"Besten Dank für Ihren Antrag auf einen GSE-Förderbeitrag. Wir freuen uns, Ihnen mitteilen zu können, dass wir Ihrem Antrag in der eingereichten Form grundsätzlich entsprechen können. Ihr Anspruch beläuft sich auf "&amp;TEXT(Datensatz!BU3,"#'###")&amp;" Franken."</f>
        <v>#DIV/0!</v>
      </c>
    </row>
    <row r="10" spans="1:2" x14ac:dyDescent="0.3">
      <c r="A10" s="134"/>
      <c r="B10" s="220"/>
    </row>
    <row r="11" spans="1:2" ht="93.6" x14ac:dyDescent="0.3">
      <c r="A11" s="134"/>
      <c r="B11" s="220" t="s">
        <v>394</v>
      </c>
    </row>
    <row r="12" spans="1:2" x14ac:dyDescent="0.3">
      <c r="A12" s="134"/>
      <c r="B12" s="220"/>
    </row>
    <row r="13" spans="1:2" x14ac:dyDescent="0.3">
      <c r="A13" s="134"/>
      <c r="B13" s="221" t="s">
        <v>366</v>
      </c>
    </row>
    <row r="14" spans="1:2" ht="46.8" x14ac:dyDescent="0.3">
      <c r="A14" s="134"/>
      <c r="B14" s="220" t="s">
        <v>393</v>
      </c>
    </row>
    <row r="15" spans="1:2" x14ac:dyDescent="0.3">
      <c r="A15" s="134"/>
      <c r="B15" s="220"/>
    </row>
    <row r="16" spans="1:2" x14ac:dyDescent="0.3">
      <c r="A16" s="134"/>
      <c r="B16" s="220" t="s">
        <v>336</v>
      </c>
    </row>
    <row r="20" spans="1:3" x14ac:dyDescent="0.3">
      <c r="A20" s="132"/>
      <c r="B20" s="219" t="str">
        <f>"Teilweise Gutheissung Ihres Antrags auf einen GSE-Förderbeitrag (Referenz: "&amp;Datensatz!A3&amp;")"</f>
        <v>Teilweise Gutheissung Ihres Antrags auf einen GSE-Förderbeitrag (Referenz: )</v>
      </c>
    </row>
    <row r="21" spans="1:3" x14ac:dyDescent="0.3">
      <c r="A21" s="132"/>
    </row>
    <row r="22" spans="1:3" x14ac:dyDescent="0.3">
      <c r="A22" s="132"/>
    </row>
    <row r="23" spans="1:3" x14ac:dyDescent="0.3">
      <c r="A23" s="132"/>
      <c r="B23" s="220" t="str">
        <f>IF(Datensatz!I3="Herr","Sehr geehrter Herr ",IF(Datensatz!I3="Frau","Sehr geehrte Frau ","Sehr geehrte/r "))&amp;Datensatz!J3</f>
        <v>Sehr geehrte/r 0</v>
      </c>
    </row>
    <row r="24" spans="1:3" x14ac:dyDescent="0.3">
      <c r="A24" s="132"/>
      <c r="B24" s="220"/>
    </row>
    <row r="25" spans="1:3" ht="46.8" x14ac:dyDescent="0.3">
      <c r="A25" s="132"/>
      <c r="B25" s="220" t="str">
        <f>"Besten Dank für Ihren Antrag auf einen GSE-Förderbeitrag. Wir freuen uns, Ihnen mitteilen zu können, dass wir Ihrem Antrag in der eingereichten Form grundsätzlich teilweise entsprechen können. Ihr Anspruch beläuft sich auf "&amp;TEXT(Datensatz!BU18,"#'###")&amp;" Franken."</f>
        <v>Besten Dank für Ihren Antrag auf einen GSE-Förderbeitrag. Wir freuen uns, Ihnen mitteilen zu können, dass wir Ihrem Antrag in der eingereichten Form grundsätzlich teilweise entsprechen können. Ihr Anspruch beläuft sich auf  Franken.</v>
      </c>
    </row>
    <row r="26" spans="1:3" x14ac:dyDescent="0.3">
      <c r="A26" s="132"/>
      <c r="B26" s="220"/>
    </row>
    <row r="27" spans="1:3" ht="15.6" customHeight="1" x14ac:dyDescent="0.3">
      <c r="A27" s="132"/>
      <c r="B27" s="220" t="s">
        <v>344</v>
      </c>
      <c r="C27" s="217" t="s">
        <v>345</v>
      </c>
    </row>
    <row r="28" spans="1:3" x14ac:dyDescent="0.3">
      <c r="A28" s="132"/>
      <c r="B28" s="220"/>
    </row>
    <row r="29" spans="1:3" ht="93.6" x14ac:dyDescent="0.3">
      <c r="A29" s="132"/>
      <c r="B29" s="220" t="s">
        <v>394</v>
      </c>
    </row>
    <row r="30" spans="1:3" x14ac:dyDescent="0.3">
      <c r="A30" s="132"/>
      <c r="B30" s="220"/>
    </row>
    <row r="31" spans="1:3" x14ac:dyDescent="0.3">
      <c r="A31" s="132"/>
      <c r="B31" s="221" t="s">
        <v>366</v>
      </c>
    </row>
    <row r="32" spans="1:3" ht="46.8" x14ac:dyDescent="0.3">
      <c r="A32" s="132"/>
      <c r="B32" s="220" t="s">
        <v>393</v>
      </c>
    </row>
    <row r="33" spans="1:2" x14ac:dyDescent="0.3">
      <c r="A33" s="132"/>
      <c r="B33" s="220"/>
    </row>
    <row r="34" spans="1:2" x14ac:dyDescent="0.3">
      <c r="A34" s="132"/>
      <c r="B34" s="220" t="s">
        <v>336</v>
      </c>
    </row>
    <row r="36" spans="1:2" x14ac:dyDescent="0.3">
      <c r="B36" s="217"/>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62266-33B0-416D-A722-76FBED5F527F}">
  <sheetPr>
    <tabColor theme="8"/>
  </sheetPr>
  <dimension ref="A1:C28"/>
  <sheetViews>
    <sheetView workbookViewId="0">
      <selection activeCell="E6" sqref="E6:G6"/>
    </sheetView>
  </sheetViews>
  <sheetFormatPr baseColWidth="10" defaultRowHeight="15.6" x14ac:dyDescent="0.3"/>
  <cols>
    <col min="1" max="1" width="4.59765625" style="105" customWidth="1"/>
    <col min="2" max="2" width="24.8984375" style="105" customWidth="1"/>
    <col min="3" max="3" width="88.69921875" style="105" customWidth="1"/>
    <col min="4" max="16384" width="11.19921875" style="105"/>
  </cols>
  <sheetData>
    <row r="1" spans="1:3" x14ac:dyDescent="0.3">
      <c r="A1" s="227" t="s">
        <v>458</v>
      </c>
      <c r="B1" s="222" t="s">
        <v>451</v>
      </c>
      <c r="C1" s="105" t="s">
        <v>448</v>
      </c>
    </row>
    <row r="2" spans="1:3" x14ac:dyDescent="0.3">
      <c r="A2" s="227"/>
      <c r="B2" s="222" t="s">
        <v>455</v>
      </c>
      <c r="C2" s="105" t="s">
        <v>452</v>
      </c>
    </row>
    <row r="3" spans="1:3" x14ac:dyDescent="0.3">
      <c r="A3" s="227"/>
      <c r="B3" s="222" t="s">
        <v>456</v>
      </c>
      <c r="C3" s="105" t="s">
        <v>449</v>
      </c>
    </row>
    <row r="4" spans="1:3" x14ac:dyDescent="0.3">
      <c r="A4" s="227"/>
      <c r="B4" s="222" t="s">
        <v>464</v>
      </c>
      <c r="C4" s="105" t="s">
        <v>450</v>
      </c>
    </row>
    <row r="5" spans="1:3" x14ac:dyDescent="0.3">
      <c r="A5" s="227"/>
      <c r="B5" s="222" t="s">
        <v>465</v>
      </c>
      <c r="C5" s="105" t="s">
        <v>450</v>
      </c>
    </row>
    <row r="6" spans="1:3" x14ac:dyDescent="0.3">
      <c r="B6" s="226"/>
    </row>
    <row r="7" spans="1:3" x14ac:dyDescent="0.3">
      <c r="A7" s="227" t="s">
        <v>459</v>
      </c>
      <c r="B7" s="222" t="s">
        <v>457</v>
      </c>
      <c r="C7" s="105" t="s">
        <v>449</v>
      </c>
    </row>
    <row r="10" spans="1:3" x14ac:dyDescent="0.3">
      <c r="A10" s="224"/>
      <c r="B10" s="282" t="s">
        <v>447</v>
      </c>
      <c r="C10" s="282"/>
    </row>
    <row r="11" spans="1:3" x14ac:dyDescent="0.3">
      <c r="B11" s="223"/>
      <c r="C11" s="223"/>
    </row>
    <row r="12" spans="1:3" x14ac:dyDescent="0.3">
      <c r="B12" s="223"/>
      <c r="C12" s="223"/>
    </row>
    <row r="13" spans="1:3" x14ac:dyDescent="0.3">
      <c r="A13" s="224"/>
      <c r="B13" s="281" t="s">
        <v>443</v>
      </c>
      <c r="C13" s="281"/>
    </row>
    <row r="14" spans="1:3" x14ac:dyDescent="0.3">
      <c r="A14" s="224"/>
      <c r="B14" s="281"/>
      <c r="C14" s="281"/>
    </row>
    <row r="15" spans="1:3" ht="46.8" customHeight="1" x14ac:dyDescent="0.3">
      <c r="A15" s="224"/>
      <c r="B15" s="281" t="str">
        <f>"Das Unternehmen "&amp;Datensatz!D3&amp;" hat ein Fördergesuch gemäss Gesetz über Standortentwicklung (GSE, BGS 915.2) eingereicht. "&amp;"Gemäss § 5 Abs. 2 GSE sind wir befugt, Informationen und Unterlagen, die zur Prüfung des Gesuchs dienlich sind, bei Amtsstellen und Dritten ungeachtet von Berufs- und Amtsgeheimnissen und vertraglichen Geheimhaltungspflichten einzuholen."</f>
        <v>Das Unternehmen 0 hat ein Fördergesuch gemäss Gesetz über Standortentwicklung (GSE, BGS 915.2) eingereicht. Gemäss § 5 Abs. 2 GSE sind wir befugt, Informationen und Unterlagen, die zur Prüfung des Gesuchs dienlich sind, bei Amtsstellen und Dritten ungeachtet von Berufs- und Amtsgeheimnissen und vertraglichen Geheimhaltungspflichten einzuholen.</v>
      </c>
      <c r="C15" s="281"/>
    </row>
    <row r="16" spans="1:3" x14ac:dyDescent="0.3">
      <c r="A16" s="224"/>
      <c r="B16" s="281"/>
      <c r="C16" s="281"/>
    </row>
    <row r="17" spans="1:3" ht="31.2" customHeight="1" x14ac:dyDescent="0.3">
      <c r="A17" s="224"/>
      <c r="B17" s="281" t="s">
        <v>444</v>
      </c>
      <c r="C17" s="281"/>
    </row>
    <row r="18" spans="1:3" x14ac:dyDescent="0.3">
      <c r="A18" s="224"/>
      <c r="B18" s="281"/>
      <c r="C18" s="281"/>
    </row>
    <row r="19" spans="1:3" ht="31.2" customHeight="1" x14ac:dyDescent="0.3">
      <c r="A19" s="224"/>
      <c r="B19" s="281" t="str">
        <f>"Basierend auf diesen Grundlagen ersuchen wir Sie im Auftrag der Finanzdirektion des Kantons Zug, uns mitzuteilen, ob obgenannte Unternehmung bei Ihnen offene Zahlungsausstände hat. Bitte beziehen Sie sich bei Ihrer Antwort auf die Referenz "&amp;Datensatz!A3&amp;"."</f>
        <v>Basierend auf diesen Grundlagen ersuchen wir Sie im Auftrag der Finanzdirektion des Kantons Zug, uns mitzuteilen, ob obgenannte Unternehmung bei Ihnen offene Zahlungsausstände hat. Bitte beziehen Sie sich bei Ihrer Antwort auf die Referenz .</v>
      </c>
      <c r="C19" s="281"/>
    </row>
    <row r="20" spans="1:3" x14ac:dyDescent="0.3">
      <c r="A20" s="224"/>
      <c r="B20" s="281"/>
      <c r="C20" s="281"/>
    </row>
    <row r="21" spans="1:3" x14ac:dyDescent="0.3">
      <c r="A21" s="224"/>
      <c r="B21" s="281" t="s">
        <v>445</v>
      </c>
      <c r="C21" s="281"/>
    </row>
    <row r="22" spans="1:3" x14ac:dyDescent="0.3">
      <c r="A22" s="224"/>
      <c r="B22" s="283" t="str">
        <f>"  "&amp;Datensatz!D3</f>
        <v xml:space="preserve">  0</v>
      </c>
      <c r="C22" s="283"/>
    </row>
    <row r="23" spans="1:3" x14ac:dyDescent="0.3">
      <c r="A23" s="224"/>
      <c r="B23" s="281" t="e">
        <f>"  "&amp;Datensatz!E3</f>
        <v>#N/A</v>
      </c>
      <c r="C23" s="281"/>
    </row>
    <row r="24" spans="1:3" x14ac:dyDescent="0.3">
      <c r="A24" s="224"/>
      <c r="B24" s="284" t="str">
        <f>"  CHE-"&amp;LEFT(TEXT(Datensatz!F3,"000,000,000"),3)&amp;"."&amp;MID(TEXT(Datensatz!F3,"000,000,000"),5,3)&amp;"."&amp;RIGHT(TEXT(Datensatz!F3,"000,000,000"),3)</f>
        <v xml:space="preserve">  CHE-000.000.000</v>
      </c>
      <c r="C24" s="284"/>
    </row>
    <row r="25" spans="1:3" x14ac:dyDescent="0.3">
      <c r="A25" s="224"/>
      <c r="B25" s="281"/>
      <c r="C25" s="281"/>
    </row>
    <row r="26" spans="1:3" x14ac:dyDescent="0.3">
      <c r="A26" s="224"/>
      <c r="B26" s="281" t="s">
        <v>446</v>
      </c>
      <c r="C26" s="281"/>
    </row>
    <row r="27" spans="1:3" x14ac:dyDescent="0.3">
      <c r="A27" s="224"/>
      <c r="B27" s="281"/>
      <c r="C27" s="281"/>
    </row>
    <row r="28" spans="1:3" x14ac:dyDescent="0.3">
      <c r="A28" s="224"/>
      <c r="B28" s="281" t="s">
        <v>336</v>
      </c>
      <c r="C28" s="281"/>
    </row>
  </sheetData>
  <mergeCells count="17">
    <mergeCell ref="B10:C10"/>
    <mergeCell ref="B19:C19"/>
    <mergeCell ref="B20:C20"/>
    <mergeCell ref="B21:C21"/>
    <mergeCell ref="B22:C22"/>
    <mergeCell ref="B13:C13"/>
    <mergeCell ref="B14:C14"/>
    <mergeCell ref="B15:C15"/>
    <mergeCell ref="B16:C16"/>
    <mergeCell ref="B17:C17"/>
    <mergeCell ref="B18:C18"/>
    <mergeCell ref="B25:C25"/>
    <mergeCell ref="B26:C26"/>
    <mergeCell ref="B27:C27"/>
    <mergeCell ref="B28:C28"/>
    <mergeCell ref="B23:C23"/>
    <mergeCell ref="B24:C24"/>
  </mergeCells>
  <hyperlinks>
    <hyperlink ref="B1" r:id="rId1" xr:uid="{F4BD6021-BF63-499C-93B3-33FF43DE9B5D}"/>
    <hyperlink ref="B2" r:id="rId2" xr:uid="{5C936B0D-0769-4C79-B500-2B2E771BF25C}"/>
    <hyperlink ref="B3" r:id="rId3" xr:uid="{978ADDD7-3C42-4BDE-B856-FAE7123FE71C}"/>
    <hyperlink ref="B5" r:id="rId4" xr:uid="{02DD899B-253C-4D0B-9FE6-84FB549543E5}"/>
    <hyperlink ref="B7" r:id="rId5" xr:uid="{0313FC4C-2EBA-4D81-8471-905830DCBCBA}"/>
    <hyperlink ref="B4" r:id="rId6" xr:uid="{78A3C2B5-2D80-4083-B38F-D91EC1E618D4}"/>
  </hyperlink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87DFB-E29A-4EAA-BE42-765E9ABF0480}">
  <dimension ref="A1:CL8"/>
  <sheetViews>
    <sheetView workbookViewId="0">
      <selection activeCell="E6" sqref="E6:G6"/>
    </sheetView>
  </sheetViews>
  <sheetFormatPr baseColWidth="10" defaultRowHeight="15.6" x14ac:dyDescent="0.3"/>
  <cols>
    <col min="1" max="1" width="13.3984375" customWidth="1"/>
    <col min="6" max="6" width="14.796875" bestFit="1" customWidth="1"/>
    <col min="7" max="7" width="14.796875" customWidth="1"/>
    <col min="8" max="8" width="5.19921875" customWidth="1"/>
    <col min="9" max="10" width="8.3984375" customWidth="1"/>
    <col min="18" max="18" width="7.296875" bestFit="1" customWidth="1"/>
    <col min="19" max="19" width="7.3984375" bestFit="1" customWidth="1"/>
    <col min="20" max="20" width="9.69921875" bestFit="1" customWidth="1"/>
    <col min="22" max="23" width="8" customWidth="1"/>
    <col min="31" max="40" width="8.69921875" customWidth="1"/>
    <col min="49" max="49" width="9.09765625" customWidth="1"/>
    <col min="51" max="51" width="8.59765625" customWidth="1"/>
    <col min="52" max="52" width="7.69921875" customWidth="1"/>
    <col min="55" max="55" width="10.59765625" customWidth="1"/>
    <col min="56" max="56" width="7" customWidth="1"/>
    <col min="60" max="60" width="7.69921875" customWidth="1"/>
    <col min="87" max="87" width="20.3984375" bestFit="1" customWidth="1"/>
  </cols>
  <sheetData>
    <row r="1" spans="1:90" x14ac:dyDescent="0.3">
      <c r="A1" s="102" t="s">
        <v>307</v>
      </c>
      <c r="B1" s="102" t="s">
        <v>318</v>
      </c>
      <c r="C1" s="102" t="s">
        <v>319</v>
      </c>
      <c r="D1" s="102" t="s">
        <v>218</v>
      </c>
      <c r="E1" s="102" t="s">
        <v>219</v>
      </c>
      <c r="F1" s="102" t="s">
        <v>220</v>
      </c>
      <c r="G1" s="102" t="s">
        <v>417</v>
      </c>
      <c r="H1" s="102" t="s">
        <v>362</v>
      </c>
      <c r="I1" s="102" t="s">
        <v>256</v>
      </c>
      <c r="J1" s="102" t="s">
        <v>257</v>
      </c>
      <c r="K1" s="102" t="s">
        <v>258</v>
      </c>
      <c r="L1" s="102" t="s">
        <v>407</v>
      </c>
      <c r="M1" s="102" t="s">
        <v>429</v>
      </c>
      <c r="N1" s="102" t="s">
        <v>259</v>
      </c>
      <c r="O1" s="102" t="s">
        <v>363</v>
      </c>
      <c r="P1" s="102" t="s">
        <v>260</v>
      </c>
      <c r="Q1" s="102" t="s">
        <v>261</v>
      </c>
      <c r="R1" s="102" t="s">
        <v>411</v>
      </c>
      <c r="S1" s="102" t="s">
        <v>412</v>
      </c>
      <c r="T1" s="102" t="s">
        <v>418</v>
      </c>
      <c r="U1" s="102" t="s">
        <v>413</v>
      </c>
      <c r="V1" s="102" t="s">
        <v>216</v>
      </c>
      <c r="W1" s="102" t="s">
        <v>217</v>
      </c>
      <c r="X1" s="101" t="s">
        <v>422</v>
      </c>
      <c r="Y1" s="101" t="s">
        <v>243</v>
      </c>
      <c r="Z1" s="101" t="s">
        <v>244</v>
      </c>
      <c r="AA1" s="101" t="s">
        <v>245</v>
      </c>
      <c r="AB1" s="101" t="s">
        <v>395</v>
      </c>
      <c r="AC1" s="101" t="s">
        <v>398</v>
      </c>
      <c r="AD1" s="101" t="s">
        <v>423</v>
      </c>
      <c r="AE1" s="101" t="s">
        <v>27</v>
      </c>
      <c r="AF1" s="101" t="s">
        <v>246</v>
      </c>
      <c r="AG1" s="101" t="s">
        <v>247</v>
      </c>
      <c r="AH1" s="101" t="s">
        <v>248</v>
      </c>
      <c r="AI1" s="101" t="s">
        <v>304</v>
      </c>
      <c r="AJ1" s="101" t="s">
        <v>305</v>
      </c>
      <c r="AK1" s="101" t="s">
        <v>249</v>
      </c>
      <c r="AL1" s="101" t="s">
        <v>250</v>
      </c>
      <c r="AM1" s="101" t="s">
        <v>251</v>
      </c>
      <c r="AN1" s="101" t="s">
        <v>252</v>
      </c>
      <c r="AO1" s="101" t="s">
        <v>253</v>
      </c>
      <c r="AP1" s="101" t="s">
        <v>254</v>
      </c>
      <c r="AQ1" s="101" t="s">
        <v>255</v>
      </c>
      <c r="AR1" s="101" t="s">
        <v>400</v>
      </c>
      <c r="AS1" s="101" t="s">
        <v>399</v>
      </c>
      <c r="AT1" s="104" t="s">
        <v>162</v>
      </c>
      <c r="AU1" s="104" t="s">
        <v>274</v>
      </c>
      <c r="AV1" s="104" t="s">
        <v>273</v>
      </c>
      <c r="AW1" s="104" t="s">
        <v>262</v>
      </c>
      <c r="AX1" s="104" t="s">
        <v>263</v>
      </c>
      <c r="AY1" s="104" t="s">
        <v>264</v>
      </c>
      <c r="AZ1" s="104" t="s">
        <v>265</v>
      </c>
      <c r="BA1" s="104" t="s">
        <v>266</v>
      </c>
      <c r="BB1" s="104" t="s">
        <v>267</v>
      </c>
      <c r="BC1" s="104" t="s">
        <v>268</v>
      </c>
      <c r="BD1" s="104" t="s">
        <v>188</v>
      </c>
      <c r="BE1" s="104" t="s">
        <v>269</v>
      </c>
      <c r="BF1" s="104" t="s">
        <v>270</v>
      </c>
      <c r="BG1" s="104" t="s">
        <v>271</v>
      </c>
      <c r="BH1" s="104" t="s">
        <v>272</v>
      </c>
      <c r="BI1" s="104" t="s">
        <v>275</v>
      </c>
      <c r="BJ1" s="104" t="s">
        <v>276</v>
      </c>
      <c r="BK1" s="104" t="s">
        <v>410</v>
      </c>
      <c r="BL1" s="104" t="s">
        <v>277</v>
      </c>
      <c r="BM1" s="104" t="s">
        <v>278</v>
      </c>
      <c r="BN1" s="104" t="s">
        <v>279</v>
      </c>
      <c r="BO1" s="104" t="s">
        <v>280</v>
      </c>
      <c r="BP1" s="104" t="s">
        <v>290</v>
      </c>
      <c r="BQ1" s="105" t="s">
        <v>281</v>
      </c>
      <c r="BR1" s="105" t="s">
        <v>282</v>
      </c>
      <c r="BS1" s="105" t="s">
        <v>283</v>
      </c>
      <c r="BT1" s="105" t="s">
        <v>284</v>
      </c>
      <c r="BU1" s="105" t="s">
        <v>285</v>
      </c>
      <c r="BV1" s="105" t="s">
        <v>309</v>
      </c>
      <c r="BW1" s="105" t="s">
        <v>280</v>
      </c>
      <c r="BX1" s="105" t="s">
        <v>310</v>
      </c>
      <c r="BY1" s="105" t="s">
        <v>432</v>
      </c>
      <c r="BZ1" s="105" t="s">
        <v>348</v>
      </c>
      <c r="CA1" s="105" t="s">
        <v>433</v>
      </c>
      <c r="CB1" s="105" t="s">
        <v>428</v>
      </c>
      <c r="CC1" s="105" t="s">
        <v>349</v>
      </c>
      <c r="CD1" s="105" t="s">
        <v>350</v>
      </c>
      <c r="CE1" s="105" t="s">
        <v>351</v>
      </c>
      <c r="CF1" s="105" t="s">
        <v>287</v>
      </c>
      <c r="CG1" s="105" t="s">
        <v>288</v>
      </c>
      <c r="CH1" s="105" t="s">
        <v>214</v>
      </c>
      <c r="CI1" s="105" t="s">
        <v>289</v>
      </c>
      <c r="CJ1" s="105" t="s">
        <v>320</v>
      </c>
      <c r="CK1" s="105" t="s">
        <v>321</v>
      </c>
      <c r="CL1" s="105" t="s">
        <v>361</v>
      </c>
    </row>
    <row r="2" spans="1:90" x14ac:dyDescent="0.3">
      <c r="A2" t="str">
        <f>IF(Prüfer!J5="","",Gesuch!C3&amp;"-"&amp;Prüfer!J5&amp;"/"&amp;B2)</f>
        <v/>
      </c>
      <c r="B2">
        <f>B3</f>
        <v>0</v>
      </c>
      <c r="C2">
        <f>C3</f>
        <v>0</v>
      </c>
      <c r="D2">
        <f>Gesuch!E6</f>
        <v>0</v>
      </c>
      <c r="E2" t="e">
        <f>VLOOKUP(Gesuch!J7,Referenzen!A72:B84,2)</f>
        <v>#N/A</v>
      </c>
      <c r="F2" s="145">
        <f>Gesuch!E9</f>
        <v>0</v>
      </c>
      <c r="G2" s="178">
        <f>Gesuch!E10</f>
        <v>0</v>
      </c>
      <c r="H2" t="str">
        <f>IF(I2="Herr","r",IF(I2="Frau","","/r"))</f>
        <v>/r</v>
      </c>
      <c r="I2">
        <f>VLOOKUP(Gesuch!J13,Referenzen!D88:E90,2)</f>
        <v>0</v>
      </c>
      <c r="J2">
        <f>Gesuch!E14</f>
        <v>0</v>
      </c>
      <c r="K2">
        <f>Gesuch!E15</f>
        <v>0</v>
      </c>
      <c r="L2">
        <f>Gesuch!E16</f>
        <v>0</v>
      </c>
      <c r="M2" t="b">
        <v>0</v>
      </c>
      <c r="N2">
        <f>Gesuch!E17</f>
        <v>0</v>
      </c>
      <c r="O2" t="str">
        <f>Gesuch!E18&amp;" "&amp;Gesuch!E19</f>
        <v xml:space="preserve"> </v>
      </c>
      <c r="P2">
        <f>Gesuch!E20</f>
        <v>0</v>
      </c>
      <c r="Q2">
        <f>Gesuch!E21</f>
        <v>0</v>
      </c>
      <c r="R2" s="103">
        <f>Gesuch!E24</f>
        <v>0</v>
      </c>
      <c r="S2" s="175">
        <f>Gesuch!E25</f>
        <v>0</v>
      </c>
      <c r="T2" s="103">
        <f>Gesuch!E26</f>
        <v>0</v>
      </c>
      <c r="U2">
        <f>Gesuch!E27</f>
        <v>0</v>
      </c>
      <c r="V2" s="129" t="b">
        <f>Gesuch!I29</f>
        <v>0</v>
      </c>
      <c r="W2" s="129" t="b">
        <f>Gesuch!J29</f>
        <v>0</v>
      </c>
      <c r="X2">
        <f>Gesuch!E33</f>
        <v>0</v>
      </c>
      <c r="Y2" s="129" t="b">
        <v>0</v>
      </c>
      <c r="Z2" s="129" t="b">
        <v>0</v>
      </c>
      <c r="AA2" s="129" t="b">
        <v>0</v>
      </c>
      <c r="AB2" s="129" t="b">
        <v>0</v>
      </c>
      <c r="AC2" s="129" t="b">
        <v>0</v>
      </c>
      <c r="AD2">
        <f>Gesuch!$B$39</f>
        <v>0</v>
      </c>
      <c r="AE2" s="129" t="b">
        <v>0</v>
      </c>
      <c r="AF2" s="129" t="b">
        <v>0</v>
      </c>
      <c r="AG2" s="129" t="b">
        <v>0</v>
      </c>
      <c r="AH2" s="129" t="b">
        <v>0</v>
      </c>
      <c r="AI2" s="129" t="b">
        <v>0</v>
      </c>
      <c r="AJ2" s="129" t="b">
        <v>0</v>
      </c>
      <c r="AK2" s="129" t="b">
        <v>0</v>
      </c>
      <c r="AL2" s="129" t="b">
        <v>0</v>
      </c>
      <c r="AM2" s="129" t="b">
        <v>0</v>
      </c>
      <c r="AN2" s="129" t="b">
        <v>0</v>
      </c>
      <c r="AO2">
        <f>Gesuch!B75</f>
        <v>0</v>
      </c>
      <c r="AP2">
        <f>Gesuch!B78</f>
        <v>0</v>
      </c>
      <c r="AQ2" s="103">
        <f>Gesuch!B81</f>
        <v>0</v>
      </c>
      <c r="AR2" s="103">
        <f>Gesuch!E84</f>
        <v>0</v>
      </c>
      <c r="AS2" s="103">
        <f>Gesuch!E85</f>
        <v>0</v>
      </c>
      <c r="AT2">
        <f>VLOOKUP(Gesuch!J91,Referenzen!C8:D15,2)</f>
        <v>0</v>
      </c>
      <c r="AU2">
        <f>Gesuch!B95</f>
        <v>0</v>
      </c>
      <c r="AV2">
        <f>Gesuch!B98</f>
        <v>0</v>
      </c>
      <c r="AW2">
        <f>Gesuch!E101</f>
        <v>0</v>
      </c>
      <c r="AX2">
        <f>Gesuch!E102</f>
        <v>0</v>
      </c>
      <c r="AY2">
        <f>VLOOKUP(Gesuch!J103,Referenzen!C36:D38,2)</f>
        <v>0</v>
      </c>
      <c r="AZ2">
        <f>VLOOKUP(Gesuch!J104,Referenzen!A47:G67,4)</f>
        <v>0</v>
      </c>
      <c r="BA2" s="103">
        <f>Gesuch!E107</f>
        <v>0</v>
      </c>
      <c r="BB2" s="103">
        <f>Gesuch!E108</f>
        <v>0</v>
      </c>
      <c r="BC2">
        <f>Gesuch!E111</f>
        <v>0</v>
      </c>
      <c r="BD2">
        <f>Gesuch!E112</f>
        <v>0</v>
      </c>
      <c r="BE2" s="103">
        <f>Gesuch!E115</f>
        <v>0</v>
      </c>
      <c r="BF2" s="103">
        <f>Gesuch!E116</f>
        <v>0</v>
      </c>
      <c r="BG2" s="106">
        <f>Gesuch!E119</f>
        <v>0</v>
      </c>
      <c r="BH2" s="106">
        <f>Gesuch!E120</f>
        <v>0</v>
      </c>
      <c r="BI2" s="103">
        <f>Gesuch!E121</f>
        <v>0</v>
      </c>
      <c r="BJ2" s="103">
        <f>Gesuch!E122</f>
        <v>0</v>
      </c>
      <c r="BK2" s="103">
        <f>Gesuch!B125</f>
        <v>0</v>
      </c>
      <c r="BL2" s="129" t="b">
        <v>0</v>
      </c>
      <c r="BM2" s="129" t="b">
        <v>0</v>
      </c>
      <c r="BN2" s="129" t="b">
        <v>0</v>
      </c>
      <c r="BO2" s="129" t="b">
        <v>0</v>
      </c>
      <c r="BP2" t="str">
        <f>IF(Gesuch!N134=2,"Limited Assurance Report","Reasonable Assurance Report")</f>
        <v>Limited Assurance Report</v>
      </c>
      <c r="BQ2" s="103">
        <f>Gesuch!G144</f>
        <v>0</v>
      </c>
      <c r="BR2" s="103">
        <f>Gesuch!G145</f>
        <v>0</v>
      </c>
      <c r="BS2" s="103">
        <f>Gesuch!G150</f>
        <v>0</v>
      </c>
      <c r="BT2" s="103">
        <f>Gesuch!G154</f>
        <v>0</v>
      </c>
      <c r="BU2" s="147">
        <f>Gesuch!G156</f>
        <v>0</v>
      </c>
      <c r="BV2" s="130" t="b">
        <v>0</v>
      </c>
      <c r="BW2" s="130" t="b">
        <v>0</v>
      </c>
      <c r="BX2" s="130" t="b">
        <v>0</v>
      </c>
      <c r="BY2" s="130" t="b">
        <v>0</v>
      </c>
      <c r="BZ2" s="130" t="b">
        <v>0</v>
      </c>
      <c r="CA2" s="130" t="b">
        <v>0</v>
      </c>
      <c r="CB2" s="130" t="b">
        <v>0</v>
      </c>
      <c r="CC2" s="130" t="b">
        <v>0</v>
      </c>
      <c r="CD2" s="130" t="b">
        <v>0</v>
      </c>
      <c r="CE2" s="130" t="b">
        <v>0</v>
      </c>
      <c r="CF2">
        <f>Gesuch!E181</f>
        <v>0</v>
      </c>
      <c r="CG2">
        <f>Gesuch!E182</f>
        <v>0</v>
      </c>
      <c r="CH2">
        <f>Gesuch!E183</f>
        <v>0</v>
      </c>
      <c r="CI2">
        <f>Gesuch!E184</f>
        <v>0</v>
      </c>
    </row>
    <row r="3" spans="1:90" x14ac:dyDescent="0.3">
      <c r="A3" t="str">
        <f>A2</f>
        <v/>
      </c>
      <c r="B3">
        <f>Prüfer!J6</f>
        <v>0</v>
      </c>
      <c r="C3">
        <f>Prüfer!J7</f>
        <v>0</v>
      </c>
      <c r="D3">
        <f>IF(Prüfer!J9&lt;&gt;"",Prüfer!J9,D2)</f>
        <v>0</v>
      </c>
      <c r="E3" t="e">
        <f>IF(Prüfer!J10&lt;&gt;"",Prüfer!J10,E2)</f>
        <v>#N/A</v>
      </c>
      <c r="F3" s="145">
        <f>IF(Prüfer!J12&lt;&gt;"",Prüfer!J12,F2)</f>
        <v>0</v>
      </c>
      <c r="G3" s="178">
        <f>IF(Prüfer!J13&lt;&gt;"",Prüfer!J13,G2)</f>
        <v>0</v>
      </c>
      <c r="H3" t="str">
        <f>IF(I3="Herr","r",IF(I3="Frau","","/r"))</f>
        <v>/r</v>
      </c>
      <c r="I3">
        <f>IF(Prüfer!J16&lt;&gt;"",Prüfer!J16,I2)</f>
        <v>0</v>
      </c>
      <c r="J3">
        <f>IF(Prüfer!J17&lt;&gt;"",Prüfer!J17,J2)</f>
        <v>0</v>
      </c>
      <c r="K3">
        <f>IF(Prüfer!J18&lt;&gt;"",Prüfer!J18,K2)</f>
        <v>0</v>
      </c>
      <c r="L3">
        <f>IF(Prüfer!J19&lt;&gt;"",Prüfer!J19,L2)</f>
        <v>0</v>
      </c>
      <c r="M3" t="b">
        <f>IF(Prüfer!I19="",M2,IF(Prüfer!I19="j",TRUE,FALSE))</f>
        <v>0</v>
      </c>
      <c r="N3">
        <f>IF(Prüfer!J20&lt;&gt;"",Prüfer!J20,N2)</f>
        <v>0</v>
      </c>
      <c r="O3" t="str">
        <f>IF(Prüfer!J21&lt;&gt;"",Prüfer!J21,Prüfer!E21)&amp;" "&amp;IF(Prüfer!J22&lt;&gt;"",Prüfer!J22,Prüfer!E22)</f>
        <v>0 0</v>
      </c>
      <c r="P3">
        <f>IF(Prüfer!J23&lt;&gt;"",Prüfer!J23,P2)</f>
        <v>0</v>
      </c>
      <c r="Q3">
        <f>IF(Prüfer!J24&lt;&gt;"",Prüfer!J24,Q2)</f>
        <v>0</v>
      </c>
      <c r="R3" s="103">
        <f>IF(Prüfer!J27&lt;&gt;"",Prüfer!J27,R2)</f>
        <v>0</v>
      </c>
      <c r="S3" s="175">
        <f>IF(Prüfer!J28&lt;&gt;"",Prüfer!J28,S2)</f>
        <v>0</v>
      </c>
      <c r="T3" s="103">
        <f>IF(Prüfer!J29&lt;&gt;"",Prüfer!J29,T2)</f>
        <v>0</v>
      </c>
      <c r="U3">
        <f>IF(Prüfer!J30&lt;&gt;"",Prüfer!J30,U2)</f>
        <v>0</v>
      </c>
      <c r="V3" t="b">
        <f>V2</f>
        <v>0</v>
      </c>
      <c r="W3" t="b">
        <f>W2</f>
        <v>0</v>
      </c>
      <c r="X3">
        <f>IF(Prüfer!J36&lt;&gt;"",Prüfer!J36,X2)</f>
        <v>0</v>
      </c>
      <c r="Y3" t="b">
        <f>IF(Prüfer!B40="n",FALSE,IF(Prüfer!B40="j",TRUE,Y2))</f>
        <v>0</v>
      </c>
      <c r="Z3" t="b">
        <f>IF(Prüfer!D40="n",FALSE,IF(Prüfer!D40="j",TRUE,Z2))</f>
        <v>0</v>
      </c>
      <c r="AA3" t="b">
        <f>IF(Prüfer!G40="n",FALSE,IF(Prüfer!G40="j",TRUE,AA2))</f>
        <v>0</v>
      </c>
      <c r="AB3" t="b">
        <f>IF(Prüfer!I40="n",FALSE,IF(Prüfer!I40="j",TRUE,AB2))</f>
        <v>0</v>
      </c>
      <c r="AC3" t="b">
        <f>IF(Prüfer!K40="n",FALSE,IF(Prüfer!K40="j",TRUE,AC2))</f>
        <v>0</v>
      </c>
      <c r="AD3">
        <f>IF(Prüfer!J43&lt;&gt;"",Prüfer!J43,AD2)</f>
        <v>0</v>
      </c>
      <c r="AE3" t="b">
        <f>IF(Prüfer!G51="n",FALSE,IF(Prüfer!G51="j",TRUE,AE2))</f>
        <v>0</v>
      </c>
      <c r="AF3" t="b">
        <f>IF(Prüfer!G52="n",FALSE,IF(Prüfer!G52="j",TRUE,AF2))</f>
        <v>0</v>
      </c>
      <c r="AG3" t="b">
        <f>IF(Prüfer!G53="n",FALSE,IF(Prüfer!G53="j",TRUE,AG2))</f>
        <v>0</v>
      </c>
      <c r="AH3" t="b">
        <f>IF(Prüfer!G54="n",FALSE,IF(Prüfer!G54="j",TRUE,AH2))</f>
        <v>0</v>
      </c>
      <c r="AI3" t="b">
        <f>IF(Prüfer!G55="n",FALSE,IF(Prüfer!G55="j",TRUE,AI2))</f>
        <v>0</v>
      </c>
      <c r="AJ3" t="b">
        <f>IF(Prüfer!I51="n",FALSE,IF(Prüfer!I51="j",TRUE,AJ2))</f>
        <v>0</v>
      </c>
      <c r="AK3" t="b">
        <f>IF(Prüfer!I52="n",FALSE,IF(Prüfer!I52="j",TRUE,AK2))</f>
        <v>0</v>
      </c>
      <c r="AL3" t="b">
        <f>IF(Prüfer!I53="n",FALSE,IF(Prüfer!I53="j",TRUE,AL2))</f>
        <v>0</v>
      </c>
      <c r="AM3" t="b">
        <f>IF(Prüfer!I54="n",FALSE,IF(Prüfer!I54="j",TRUE,AM2))</f>
        <v>0</v>
      </c>
      <c r="AN3" t="b">
        <f>IF(Prüfer!I55="n",FALSE,IF(Prüfer!I55="j",TRUE,AN2))</f>
        <v>0</v>
      </c>
      <c r="AO3">
        <f>IF(Prüfer!J79&lt;&gt;"",Prüfer!J79,AO2)</f>
        <v>0</v>
      </c>
      <c r="AP3">
        <f>IF(Prüfer!J82&lt;&gt;"",Prüfer!J82,AP2)</f>
        <v>0</v>
      </c>
      <c r="AQ3" s="103">
        <f>IF(Prüfer!L85&lt;&gt;"",Prüfer!L85,AQ2)</f>
        <v>0</v>
      </c>
      <c r="AR3" s="103">
        <f>IF(Prüfer!L88&lt;&gt;"",Prüfer!L88,AR2)</f>
        <v>0</v>
      </c>
      <c r="AS3" s="103">
        <f>IF(Prüfer!L89&lt;&gt;"",Prüfer!L89,AS2)</f>
        <v>0</v>
      </c>
      <c r="AT3">
        <f>IF(Prüfer!J95=1,AT2,VLOOKUP(Prüfer!J95,Referenzen!C8:D15,2))</f>
        <v>0</v>
      </c>
      <c r="AU3">
        <f>IF(Prüfer!J98&lt;&gt;"",Prüfer!J98,AU2)</f>
        <v>0</v>
      </c>
      <c r="AV3">
        <f>IF(Prüfer!J101&lt;&gt;"",Prüfer!J101,AV2)</f>
        <v>0</v>
      </c>
      <c r="AW3">
        <f>IF(Prüfer!J104&lt;&gt;"",Prüfer!J104,AW2)</f>
        <v>0</v>
      </c>
      <c r="AX3">
        <f>IF(Prüfer!J105&lt;&gt;"",Prüfer!J105,AX2)</f>
        <v>0</v>
      </c>
      <c r="AY3">
        <f>IF(Prüfer!J106=1,AY2,VLOOKUP(Prüfer!J106,Referenzen!C36:D38,2))</f>
        <v>0</v>
      </c>
      <c r="AZ3">
        <f>IF(Prüfer!J107=1,AZ2,VLOOKUP(Prüfer!J107,Referenzen!A48:B67,2))</f>
        <v>0</v>
      </c>
      <c r="BA3" s="103">
        <f>IF(Prüfer!J110&lt;&gt;"",Prüfer!J110,BA2)</f>
        <v>0</v>
      </c>
      <c r="BB3" s="103">
        <f>IF(Prüfer!J111&lt;&gt;"",Prüfer!J111,BB2)</f>
        <v>0</v>
      </c>
      <c r="BC3">
        <f>IF(Prüfer!J114&lt;&gt;"",Prüfer!J114,BC2)</f>
        <v>0</v>
      </c>
      <c r="BD3">
        <f>IF(Prüfer!J115&lt;&gt;"",Prüfer!J115,BD2)</f>
        <v>0</v>
      </c>
      <c r="BE3" s="103">
        <f>IF(Prüfer!J118&lt;&gt;"",Prüfer!J118,BE2)</f>
        <v>0</v>
      </c>
      <c r="BF3" s="103">
        <f>IF(Prüfer!J119&lt;&gt;"",Prüfer!J119,BF2)</f>
        <v>0</v>
      </c>
      <c r="BG3" s="106" t="e">
        <f>Prüfer!J122</f>
        <v>#DIV/0!</v>
      </c>
      <c r="BH3" s="106" t="e">
        <f>Prüfer!J123</f>
        <v>#DIV/0!</v>
      </c>
      <c r="BI3" s="103" t="e">
        <f>Prüfer!J124</f>
        <v>#DIV/0!</v>
      </c>
      <c r="BJ3" s="103" t="e">
        <f>Prüfer!J125</f>
        <v>#DIV/0!</v>
      </c>
      <c r="BK3" s="103">
        <f>IF(Prüfer!J127&lt;&gt;"",Prüfer!J127,BK2)</f>
        <v>0</v>
      </c>
      <c r="BL3" t="b">
        <f>IF(Prüfer!K131="n",FALSE,IF(Prüfer!K131="j",TRUE,BL2))</f>
        <v>0</v>
      </c>
      <c r="BM3" t="b">
        <f>IF(Prüfer!K132="n",FALSE,IF(Prüfer!K132="j",TRUE,BM2))</f>
        <v>0</v>
      </c>
      <c r="BN3" t="b">
        <f>IF(Prüfer!K133="n",FALSE,IF(Prüfer!K133="j",TRUE,BN2))</f>
        <v>0</v>
      </c>
      <c r="BO3" t="b">
        <f>IF(Prüfer!K134="n",FALSE,IF(Prüfer!K134="j",TRUE,BO2))</f>
        <v>0</v>
      </c>
      <c r="BP3" t="str">
        <f>IF(Prüfer!K135="n",FALSE,IF(Prüfer!K135="j",BP2,BP2))</f>
        <v>Limited Assurance Report</v>
      </c>
      <c r="BQ3" s="103">
        <f>IF(Prüfer!L146&lt;&gt;"",Prüfer!L146,BQ2)</f>
        <v>0</v>
      </c>
      <c r="BR3" s="103">
        <f>IF(Prüfer!L147&lt;&gt;"",Prüfer!L147,BR2)</f>
        <v>0</v>
      </c>
      <c r="BS3" s="103" t="e">
        <f>IF(Prüfer!L152&lt;&gt;"",Prüfer!L152,BS2)</f>
        <v>#DIV/0!</v>
      </c>
      <c r="BT3" s="103" t="e">
        <f>IF(Prüfer!L156&lt;&gt;"",Prüfer!L156,BT2)</f>
        <v>#DIV/0!</v>
      </c>
      <c r="BU3" s="147" t="e">
        <f>IF(Prüfer!L158&lt;&gt;"",Prüfer!L158,BU2)</f>
        <v>#DIV/0!</v>
      </c>
      <c r="BV3" s="103" t="b">
        <f>IF(Prüfer!K164="n",FALSE,IF(Prüfer!K164="j",TRUE,BV2))</f>
        <v>0</v>
      </c>
      <c r="BW3" s="103" t="b">
        <f>IF(Prüfer!K165="n",FALSE,IF(Prüfer!K165="j",TRUE,BW2))</f>
        <v>0</v>
      </c>
      <c r="BX3" s="103" t="b">
        <f>IF(Prüfer!K166="n",FALSE,IF(Prüfer!K166="j",TRUE,BX2))</f>
        <v>0</v>
      </c>
      <c r="BY3" s="103" t="b">
        <f>IF(Prüfer!K167="n",FALSE,IF(Prüfer!K167="j",TRUE,BY2))</f>
        <v>0</v>
      </c>
      <c r="BZ3" s="103" t="b">
        <f>IF(Prüfer!K168="n",FALSE,IF(Prüfer!K168="j",TRUE,BZ2))</f>
        <v>0</v>
      </c>
      <c r="CA3" s="103" t="b">
        <f>IF(Prüfer!K169="n",FALSE,IF(Prüfer!K169="j",TRUE,CA2))</f>
        <v>0</v>
      </c>
      <c r="CB3" s="103" t="b">
        <f>IF(OR(Prüfer!K170="j",AND(Prüfer!B170="j",Prüfer!K170="")),TRUE,FALSE)</f>
        <v>0</v>
      </c>
      <c r="CC3" s="103" t="b">
        <f>IF(Prüfer!K173="n",FALSE,IF(Prüfer!K173="j",TRUE,CC2))</f>
        <v>0</v>
      </c>
      <c r="CD3" s="103" t="b">
        <f>IF(Prüfer!K174="n",FALSE,IF(Prüfer!K174="j",TRUE,CD2))</f>
        <v>0</v>
      </c>
      <c r="CE3" s="103" t="b">
        <f>IF(Prüfer!K175="n",FALSE,IF(Prüfer!K175="j",TRUE,CE2))</f>
        <v>0</v>
      </c>
      <c r="CF3">
        <f>IF(Prüfer!J178&lt;&gt;"",Prüfer!J178,Prüfer!E178)</f>
        <v>0</v>
      </c>
      <c r="CG3">
        <f>IF(Prüfer!J179&lt;&gt;"",Prüfer!J179,Prüfer!E179)</f>
        <v>0</v>
      </c>
      <c r="CH3">
        <f>IF(Prüfer!J180&lt;&gt;"",Prüfer!J180,Prüfer!E180)</f>
        <v>0</v>
      </c>
      <c r="CI3">
        <f>IF(Prüfer!J181&lt;&gt;"",Prüfer!J181,Prüfer!E181)</f>
        <v>0</v>
      </c>
      <c r="CJ3">
        <f>Prüfer!B184</f>
        <v>0</v>
      </c>
      <c r="CK3">
        <f>Prüfer!J184</f>
        <v>0</v>
      </c>
      <c r="CL3">
        <f>Prüfer!O186</f>
        <v>0</v>
      </c>
    </row>
    <row r="5" spans="1:90" x14ac:dyDescent="0.3">
      <c r="A5" s="131" t="s">
        <v>329</v>
      </c>
      <c r="B5" s="131"/>
      <c r="C5" s="131"/>
      <c r="D5" s="131"/>
      <c r="E5" s="131"/>
      <c r="F5" s="131"/>
      <c r="G5" s="131"/>
      <c r="H5" s="131"/>
      <c r="I5" s="131"/>
      <c r="J5" s="131"/>
    </row>
    <row r="6" spans="1:90" x14ac:dyDescent="0.3">
      <c r="A6" s="285" t="s">
        <v>330</v>
      </c>
      <c r="B6" s="285"/>
      <c r="C6" s="285"/>
      <c r="D6" s="285"/>
      <c r="E6" s="285"/>
      <c r="F6" s="285"/>
      <c r="G6" s="285"/>
      <c r="H6" s="285"/>
      <c r="I6" s="285"/>
      <c r="J6" s="285"/>
    </row>
    <row r="7" spans="1:90" x14ac:dyDescent="0.3">
      <c r="A7" s="285"/>
      <c r="B7" s="285"/>
      <c r="C7" s="285"/>
      <c r="D7" s="285"/>
      <c r="E7" s="285"/>
      <c r="F7" s="285"/>
      <c r="G7" s="285"/>
      <c r="H7" s="285"/>
      <c r="I7" s="285"/>
      <c r="J7" s="285"/>
    </row>
    <row r="8" spans="1:90" x14ac:dyDescent="0.3">
      <c r="A8" s="285"/>
      <c r="B8" s="285"/>
      <c r="C8" s="285"/>
      <c r="D8" s="285"/>
      <c r="E8" s="285"/>
      <c r="F8" s="285"/>
      <c r="G8" s="285"/>
      <c r="H8" s="285"/>
      <c r="I8" s="285"/>
      <c r="J8" s="285"/>
    </row>
  </sheetData>
  <mergeCells count="1">
    <mergeCell ref="A6:J8"/>
  </mergeCells>
  <phoneticPr fontId="14" type="noConversion"/>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0BF44-0477-4215-A962-94E49D61695E}">
  <sheetPr codeName="Tabelle2"/>
  <dimension ref="A1:H92"/>
  <sheetViews>
    <sheetView topLeftCell="A54" workbookViewId="0">
      <selection activeCell="E6" sqref="E6:G6"/>
    </sheetView>
  </sheetViews>
  <sheetFormatPr baseColWidth="10" defaultColWidth="8.59765625" defaultRowHeight="15.6" x14ac:dyDescent="0.3"/>
  <cols>
    <col min="3" max="3" width="38.69921875" customWidth="1"/>
    <col min="4" max="4" width="28.296875" bestFit="1" customWidth="1"/>
    <col min="5" max="5" width="38.69921875" customWidth="1"/>
    <col min="7" max="7" width="34.8984375" customWidth="1"/>
    <col min="9" max="9" width="34.8984375" customWidth="1"/>
  </cols>
  <sheetData>
    <row r="1" spans="1:8" ht="33.6" x14ac:dyDescent="0.65">
      <c r="A1" s="60" t="s">
        <v>111</v>
      </c>
      <c r="B1" s="59" t="s">
        <v>110</v>
      </c>
    </row>
    <row r="2" spans="1:8" x14ac:dyDescent="0.3">
      <c r="B2" t="s">
        <v>109</v>
      </c>
      <c r="C2" t="s">
        <v>107</v>
      </c>
      <c r="D2" s="14"/>
    </row>
    <row r="3" spans="1:8" x14ac:dyDescent="0.3">
      <c r="B3" t="s">
        <v>108</v>
      </c>
      <c r="C3" t="s">
        <v>107</v>
      </c>
    </row>
    <row r="5" spans="1:8" x14ac:dyDescent="0.3">
      <c r="B5" s="58" t="s">
        <v>106</v>
      </c>
      <c r="C5" s="55"/>
      <c r="D5" s="57" t="s">
        <v>105</v>
      </c>
      <c r="E5" s="55"/>
      <c r="F5" s="57" t="s">
        <v>104</v>
      </c>
      <c r="H5" s="49"/>
    </row>
    <row r="6" spans="1:8" x14ac:dyDescent="0.3">
      <c r="B6" s="56" t="s">
        <v>103</v>
      </c>
      <c r="C6" s="55"/>
      <c r="D6" s="161" t="s">
        <v>102</v>
      </c>
      <c r="E6" s="55"/>
      <c r="F6" s="54"/>
    </row>
    <row r="7" spans="1:8" x14ac:dyDescent="0.3">
      <c r="B7" s="56" t="s">
        <v>101</v>
      </c>
      <c r="C7" s="55"/>
      <c r="D7" s="54"/>
      <c r="E7" s="55"/>
      <c r="F7" s="54"/>
    </row>
    <row r="8" spans="1:8" x14ac:dyDescent="0.3">
      <c r="B8" s="53"/>
      <c r="C8" s="87">
        <v>1</v>
      </c>
      <c r="D8" s="52"/>
      <c r="E8" s="49"/>
      <c r="F8" s="50"/>
    </row>
    <row r="9" spans="1:8" x14ac:dyDescent="0.3">
      <c r="B9" s="48" t="s">
        <v>100</v>
      </c>
      <c r="C9" s="87">
        <v>2</v>
      </c>
      <c r="D9" s="50" t="s">
        <v>99</v>
      </c>
      <c r="E9" s="49"/>
      <c r="F9" s="50"/>
    </row>
    <row r="10" spans="1:8" x14ac:dyDescent="0.3">
      <c r="B10" s="48" t="s">
        <v>98</v>
      </c>
      <c r="C10" s="87">
        <v>3</v>
      </c>
      <c r="D10" s="50" t="s">
        <v>97</v>
      </c>
      <c r="E10" s="49"/>
      <c r="F10" s="50"/>
    </row>
    <row r="11" spans="1:8" x14ac:dyDescent="0.3">
      <c r="B11" s="48" t="s">
        <v>96</v>
      </c>
      <c r="C11" s="87">
        <v>4</v>
      </c>
      <c r="D11" s="50" t="s">
        <v>95</v>
      </c>
      <c r="E11" s="49"/>
      <c r="F11" s="50"/>
    </row>
    <row r="12" spans="1:8" x14ac:dyDescent="0.3">
      <c r="B12" s="48" t="s">
        <v>94</v>
      </c>
      <c r="C12" s="87">
        <v>5</v>
      </c>
      <c r="D12" s="51" t="s">
        <v>93</v>
      </c>
      <c r="E12" s="49"/>
      <c r="F12" s="50"/>
    </row>
    <row r="13" spans="1:8" x14ac:dyDescent="0.3">
      <c r="B13" s="48" t="s">
        <v>92</v>
      </c>
      <c r="C13" s="87">
        <v>6</v>
      </c>
      <c r="D13" s="51" t="s">
        <v>91</v>
      </c>
      <c r="E13" s="49"/>
      <c r="F13" s="50"/>
    </row>
    <row r="14" spans="1:8" x14ac:dyDescent="0.3">
      <c r="B14" s="48" t="s">
        <v>90</v>
      </c>
      <c r="C14" s="87">
        <v>7</v>
      </c>
      <c r="D14" s="51" t="s">
        <v>89</v>
      </c>
      <c r="E14" s="49"/>
      <c r="F14" s="50"/>
    </row>
    <row r="15" spans="1:8" x14ac:dyDescent="0.3">
      <c r="B15" s="48" t="s">
        <v>88</v>
      </c>
      <c r="C15" s="87">
        <v>8</v>
      </c>
      <c r="D15" s="50" t="s">
        <v>87</v>
      </c>
      <c r="E15" s="49"/>
      <c r="F15" s="50"/>
    </row>
    <row r="16" spans="1:8" x14ac:dyDescent="0.3">
      <c r="B16" s="48" t="s">
        <v>86</v>
      </c>
      <c r="C16" s="49"/>
      <c r="D16" s="49"/>
      <c r="E16" s="49"/>
      <c r="F16" s="49"/>
    </row>
    <row r="17" spans="2:6" x14ac:dyDescent="0.3">
      <c r="B17" s="48" t="s">
        <v>85</v>
      </c>
      <c r="C17" s="49"/>
      <c r="D17" s="49"/>
      <c r="E17" s="49"/>
      <c r="F17" s="49"/>
    </row>
    <row r="18" spans="2:6" x14ac:dyDescent="0.3">
      <c r="B18" s="48" t="s">
        <v>84</v>
      </c>
      <c r="C18" s="49"/>
      <c r="E18" s="49"/>
      <c r="F18" s="49"/>
    </row>
    <row r="19" spans="2:6" x14ac:dyDescent="0.3">
      <c r="B19" s="48" t="s">
        <v>83</v>
      </c>
      <c r="C19" s="49"/>
      <c r="D19" s="49"/>
      <c r="E19" s="49"/>
      <c r="F19" s="49"/>
    </row>
    <row r="20" spans="2:6" x14ac:dyDescent="0.3">
      <c r="B20" s="48" t="s">
        <v>82</v>
      </c>
      <c r="C20" s="49"/>
      <c r="D20" s="49"/>
      <c r="E20" s="49"/>
      <c r="F20" s="49"/>
    </row>
    <row r="21" spans="2:6" x14ac:dyDescent="0.3">
      <c r="B21" s="48" t="s">
        <v>81</v>
      </c>
      <c r="C21" s="49"/>
      <c r="D21" s="49"/>
      <c r="E21" s="49"/>
      <c r="F21" s="49"/>
    </row>
    <row r="22" spans="2:6" x14ac:dyDescent="0.3">
      <c r="B22" s="48" t="s">
        <v>80</v>
      </c>
      <c r="C22" s="49"/>
      <c r="D22" s="49"/>
      <c r="E22" s="49"/>
      <c r="F22" s="49"/>
    </row>
    <row r="23" spans="2:6" x14ac:dyDescent="0.3">
      <c r="B23" s="48" t="s">
        <v>79</v>
      </c>
      <c r="C23" s="49"/>
      <c r="D23" s="49"/>
      <c r="E23" s="49"/>
      <c r="F23" s="49"/>
    </row>
    <row r="24" spans="2:6" x14ac:dyDescent="0.3">
      <c r="B24" s="48" t="s">
        <v>78</v>
      </c>
      <c r="C24" s="49"/>
      <c r="E24" s="49"/>
      <c r="F24" s="49"/>
    </row>
    <row r="25" spans="2:6" x14ac:dyDescent="0.3">
      <c r="B25" s="48" t="s">
        <v>77</v>
      </c>
    </row>
    <row r="26" spans="2:6" x14ac:dyDescent="0.3">
      <c r="B26" s="48" t="s">
        <v>76</v>
      </c>
    </row>
    <row r="27" spans="2:6" x14ac:dyDescent="0.3">
      <c r="B27" s="48" t="s">
        <v>75</v>
      </c>
    </row>
    <row r="28" spans="2:6" x14ac:dyDescent="0.3">
      <c r="B28" s="48" t="s">
        <v>74</v>
      </c>
    </row>
    <row r="29" spans="2:6" x14ac:dyDescent="0.3">
      <c r="B29" s="48" t="s">
        <v>73</v>
      </c>
    </row>
    <row r="33" spans="1:7" ht="33.6" x14ac:dyDescent="0.65">
      <c r="A33" s="60" t="s">
        <v>118</v>
      </c>
      <c r="B33" s="59" t="s">
        <v>117</v>
      </c>
    </row>
    <row r="34" spans="1:7" x14ac:dyDescent="0.3">
      <c r="B34" t="s">
        <v>109</v>
      </c>
      <c r="C34" s="65"/>
      <c r="D34" s="65"/>
    </row>
    <row r="35" spans="1:7" x14ac:dyDescent="0.3">
      <c r="B35" t="s">
        <v>108</v>
      </c>
      <c r="C35" t="s">
        <v>116</v>
      </c>
    </row>
    <row r="36" spans="1:7" x14ac:dyDescent="0.3">
      <c r="C36">
        <v>1</v>
      </c>
    </row>
    <row r="37" spans="1:7" x14ac:dyDescent="0.3">
      <c r="B37" s="64" t="s">
        <v>115</v>
      </c>
      <c r="C37" s="87">
        <v>2</v>
      </c>
      <c r="D37" s="49" t="s">
        <v>114</v>
      </c>
      <c r="G37" s="62" t="s">
        <v>113</v>
      </c>
    </row>
    <row r="38" spans="1:7" x14ac:dyDescent="0.3">
      <c r="B38" s="64" t="s">
        <v>112</v>
      </c>
      <c r="C38" s="88">
        <v>3</v>
      </c>
      <c r="D38" s="1" t="s">
        <v>389</v>
      </c>
      <c r="F38" s="61"/>
      <c r="G38" s="61"/>
    </row>
    <row r="39" spans="1:7" x14ac:dyDescent="0.3">
      <c r="B39" s="49"/>
      <c r="C39" s="87"/>
      <c r="D39" s="49"/>
      <c r="E39" s="63"/>
      <c r="F39" s="61"/>
      <c r="G39" s="62"/>
    </row>
    <row r="40" spans="1:7" x14ac:dyDescent="0.3">
      <c r="C40" s="87"/>
      <c r="D40" s="49"/>
      <c r="E40" s="63"/>
      <c r="F40" s="61"/>
      <c r="G40" s="62"/>
    </row>
    <row r="44" spans="1:7" ht="33.6" x14ac:dyDescent="0.65">
      <c r="A44" s="60" t="s">
        <v>154</v>
      </c>
      <c r="B44" s="59" t="s">
        <v>153</v>
      </c>
    </row>
    <row r="45" spans="1:7" x14ac:dyDescent="0.3">
      <c r="B45" t="s">
        <v>109</v>
      </c>
      <c r="C45" s="65" t="s">
        <v>152</v>
      </c>
    </row>
    <row r="46" spans="1:7" x14ac:dyDescent="0.3">
      <c r="B46" t="s">
        <v>108</v>
      </c>
      <c r="C46" t="s">
        <v>151</v>
      </c>
    </row>
    <row r="47" spans="1:7" x14ac:dyDescent="0.3">
      <c r="A47">
        <v>1</v>
      </c>
    </row>
    <row r="48" spans="1:7" x14ac:dyDescent="0.3">
      <c r="A48">
        <v>2</v>
      </c>
      <c r="B48" s="49" t="s">
        <v>150</v>
      </c>
      <c r="C48" s="49"/>
      <c r="D48" s="49" t="s">
        <v>233</v>
      </c>
      <c r="E48" s="49">
        <v>1208</v>
      </c>
      <c r="F48" s="49" t="s">
        <v>144</v>
      </c>
      <c r="G48" s="49" t="s">
        <v>119</v>
      </c>
    </row>
    <row r="49" spans="1:7" x14ac:dyDescent="0.3">
      <c r="A49">
        <v>3</v>
      </c>
      <c r="B49" s="49" t="s">
        <v>149</v>
      </c>
      <c r="C49" s="49"/>
      <c r="D49" s="49" t="s">
        <v>149</v>
      </c>
      <c r="E49" s="49">
        <v>6340</v>
      </c>
      <c r="F49" s="49" t="s">
        <v>120</v>
      </c>
      <c r="G49" s="49" t="s">
        <v>119</v>
      </c>
    </row>
    <row r="50" spans="1:7" x14ac:dyDescent="0.3">
      <c r="A50">
        <v>4</v>
      </c>
      <c r="B50" s="49" t="s">
        <v>148</v>
      </c>
      <c r="C50" s="49"/>
      <c r="D50" s="49" t="s">
        <v>148</v>
      </c>
      <c r="E50" s="49">
        <v>8005</v>
      </c>
      <c r="F50" s="49" t="s">
        <v>127</v>
      </c>
      <c r="G50" s="49" t="s">
        <v>119</v>
      </c>
    </row>
    <row r="51" spans="1:7" x14ac:dyDescent="0.3">
      <c r="A51">
        <v>5</v>
      </c>
      <c r="B51" s="49" t="s">
        <v>147</v>
      </c>
      <c r="C51" s="49"/>
      <c r="D51" s="49" t="s">
        <v>147</v>
      </c>
      <c r="E51" s="49">
        <v>6003</v>
      </c>
      <c r="F51" s="49" t="s">
        <v>146</v>
      </c>
      <c r="G51" s="49" t="s">
        <v>119</v>
      </c>
    </row>
    <row r="52" spans="1:7" x14ac:dyDescent="0.3">
      <c r="A52">
        <v>6</v>
      </c>
      <c r="B52" s="49" t="s">
        <v>145</v>
      </c>
      <c r="C52" s="49"/>
      <c r="D52" s="49" t="s">
        <v>145</v>
      </c>
      <c r="E52" s="49">
        <v>1207</v>
      </c>
      <c r="F52" s="49" t="s">
        <v>144</v>
      </c>
      <c r="G52" s="49" t="s">
        <v>119</v>
      </c>
    </row>
    <row r="53" spans="1:7" x14ac:dyDescent="0.3">
      <c r="A53">
        <v>7</v>
      </c>
      <c r="B53" s="49" t="s">
        <v>143</v>
      </c>
      <c r="C53" s="49"/>
      <c r="D53" s="49" t="s">
        <v>143</v>
      </c>
      <c r="E53" s="49">
        <v>1020</v>
      </c>
      <c r="F53" s="49" t="s">
        <v>142</v>
      </c>
      <c r="G53" s="49" t="s">
        <v>119</v>
      </c>
    </row>
    <row r="54" spans="1:7" x14ac:dyDescent="0.3">
      <c r="A54">
        <v>8</v>
      </c>
      <c r="B54" s="49" t="s">
        <v>141</v>
      </c>
      <c r="C54" s="49"/>
      <c r="D54" s="49" t="s">
        <v>141</v>
      </c>
      <c r="E54" s="49">
        <v>8005</v>
      </c>
      <c r="F54" s="49" t="s">
        <v>127</v>
      </c>
      <c r="G54" s="49" t="s">
        <v>119</v>
      </c>
    </row>
    <row r="55" spans="1:7" x14ac:dyDescent="0.3">
      <c r="A55">
        <v>9</v>
      </c>
      <c r="B55" s="49" t="s">
        <v>140</v>
      </c>
      <c r="C55" s="49"/>
      <c r="D55" s="49" t="s">
        <v>140</v>
      </c>
      <c r="E55" s="49">
        <v>4051</v>
      </c>
      <c r="F55" s="49" t="s">
        <v>139</v>
      </c>
      <c r="G55" s="49" t="s">
        <v>119</v>
      </c>
    </row>
    <row r="56" spans="1:7" x14ac:dyDescent="0.3">
      <c r="A56">
        <v>10</v>
      </c>
      <c r="B56" s="49" t="s">
        <v>138</v>
      </c>
      <c r="C56" s="49"/>
      <c r="D56" s="49" t="s">
        <v>138</v>
      </c>
      <c r="E56" s="49">
        <v>1214</v>
      </c>
      <c r="F56" s="49" t="s">
        <v>137</v>
      </c>
      <c r="G56" s="49" t="s">
        <v>119</v>
      </c>
    </row>
    <row r="57" spans="1:7" x14ac:dyDescent="0.3">
      <c r="A57">
        <v>11</v>
      </c>
      <c r="B57" s="49" t="s">
        <v>136</v>
      </c>
      <c r="C57" s="49"/>
      <c r="D57" s="49" t="s">
        <v>136</v>
      </c>
      <c r="E57" s="49">
        <v>8003</v>
      </c>
      <c r="F57" s="49" t="s">
        <v>127</v>
      </c>
      <c r="G57" s="49" t="s">
        <v>119</v>
      </c>
    </row>
    <row r="58" spans="1:7" x14ac:dyDescent="0.3">
      <c r="A58">
        <v>12</v>
      </c>
      <c r="B58" s="49" t="s">
        <v>135</v>
      </c>
      <c r="C58" s="49"/>
      <c r="D58" s="49" t="s">
        <v>135</v>
      </c>
      <c r="E58" s="49">
        <v>8002</v>
      </c>
      <c r="F58" s="49" t="s">
        <v>127</v>
      </c>
      <c r="G58" s="49" t="s">
        <v>119</v>
      </c>
    </row>
    <row r="59" spans="1:7" x14ac:dyDescent="0.3">
      <c r="A59">
        <v>13</v>
      </c>
      <c r="B59" s="49" t="s">
        <v>134</v>
      </c>
      <c r="C59" s="49"/>
      <c r="D59" s="49" t="s">
        <v>134</v>
      </c>
      <c r="E59" s="49">
        <v>8004</v>
      </c>
      <c r="F59" s="49" t="s">
        <v>127</v>
      </c>
      <c r="G59" s="49" t="s">
        <v>119</v>
      </c>
    </row>
    <row r="60" spans="1:7" x14ac:dyDescent="0.3">
      <c r="A60">
        <v>14</v>
      </c>
      <c r="B60" s="49" t="s">
        <v>133</v>
      </c>
      <c r="C60" s="49"/>
      <c r="D60" s="49" t="s">
        <v>133</v>
      </c>
      <c r="E60" s="49">
        <v>9004</v>
      </c>
      <c r="F60" s="49" t="s">
        <v>132</v>
      </c>
      <c r="G60" s="49" t="s">
        <v>119</v>
      </c>
    </row>
    <row r="61" spans="1:7" x14ac:dyDescent="0.3">
      <c r="A61">
        <v>15</v>
      </c>
      <c r="B61" s="49" t="s">
        <v>131</v>
      </c>
      <c r="C61" s="49"/>
      <c r="D61" s="49" t="s">
        <v>131</v>
      </c>
      <c r="E61" s="49">
        <v>6900</v>
      </c>
      <c r="F61" s="49" t="s">
        <v>130</v>
      </c>
      <c r="G61" s="49" t="s">
        <v>119</v>
      </c>
    </row>
    <row r="62" spans="1:7" x14ac:dyDescent="0.3">
      <c r="A62">
        <v>16</v>
      </c>
      <c r="B62" s="49" t="s">
        <v>129</v>
      </c>
      <c r="C62" s="49"/>
      <c r="D62" s="49" t="s">
        <v>129</v>
      </c>
      <c r="E62" s="49">
        <v>8002</v>
      </c>
      <c r="F62" s="49" t="s">
        <v>127</v>
      </c>
      <c r="G62" s="49" t="s">
        <v>119</v>
      </c>
    </row>
    <row r="63" spans="1:7" x14ac:dyDescent="0.3">
      <c r="A63">
        <v>17</v>
      </c>
      <c r="B63" s="49" t="s">
        <v>128</v>
      </c>
      <c r="C63" s="49"/>
      <c r="D63" s="49" t="s">
        <v>128</v>
      </c>
      <c r="E63" s="49">
        <v>8050</v>
      </c>
      <c r="F63" s="49" t="s">
        <v>127</v>
      </c>
      <c r="G63" s="49" t="s">
        <v>119</v>
      </c>
    </row>
    <row r="64" spans="1:7" x14ac:dyDescent="0.3">
      <c r="A64">
        <v>18</v>
      </c>
      <c r="B64" s="49" t="s">
        <v>126</v>
      </c>
      <c r="C64" s="49"/>
      <c r="D64" s="49" t="s">
        <v>126</v>
      </c>
      <c r="E64" s="49">
        <v>8808</v>
      </c>
      <c r="F64" s="49" t="s">
        <v>125</v>
      </c>
      <c r="G64" s="49" t="s">
        <v>119</v>
      </c>
    </row>
    <row r="65" spans="1:7" x14ac:dyDescent="0.3">
      <c r="A65">
        <v>19</v>
      </c>
      <c r="B65" s="49" t="s">
        <v>124</v>
      </c>
      <c r="C65" s="49"/>
      <c r="D65" s="49" t="s">
        <v>124</v>
      </c>
      <c r="E65" s="49">
        <v>3073</v>
      </c>
      <c r="F65" s="49" t="s">
        <v>123</v>
      </c>
      <c r="G65" s="49" t="s">
        <v>119</v>
      </c>
    </row>
    <row r="66" spans="1:7" x14ac:dyDescent="0.3">
      <c r="A66">
        <v>20</v>
      </c>
      <c r="B66" s="49" t="s">
        <v>308</v>
      </c>
      <c r="C66" s="49"/>
      <c r="D66" s="49" t="s">
        <v>234</v>
      </c>
      <c r="E66" s="49">
        <v>6430</v>
      </c>
      <c r="F66" s="49" t="s">
        <v>122</v>
      </c>
      <c r="G66" s="49" t="s">
        <v>119</v>
      </c>
    </row>
    <row r="67" spans="1:7" x14ac:dyDescent="0.3">
      <c r="A67">
        <v>21</v>
      </c>
      <c r="B67" s="49" t="s">
        <v>121</v>
      </c>
      <c r="C67" s="49"/>
      <c r="D67" s="49" t="s">
        <v>121</v>
      </c>
      <c r="E67" s="49">
        <v>6340</v>
      </c>
      <c r="F67" s="49" t="s">
        <v>120</v>
      </c>
      <c r="G67" s="49" t="s">
        <v>119</v>
      </c>
    </row>
    <row r="70" spans="1:7" ht="33.6" x14ac:dyDescent="0.65">
      <c r="A70" s="60" t="s">
        <v>221</v>
      </c>
      <c r="B70" s="59" t="s">
        <v>2</v>
      </c>
      <c r="D70" s="60" t="s">
        <v>241</v>
      </c>
      <c r="E70" s="59" t="s">
        <v>235</v>
      </c>
      <c r="F70" s="60" t="s">
        <v>291</v>
      </c>
      <c r="G70" s="59" t="s">
        <v>242</v>
      </c>
    </row>
    <row r="71" spans="1:7" ht="18.75" customHeight="1" x14ac:dyDescent="0.3">
      <c r="A71">
        <v>1</v>
      </c>
      <c r="B71" s="59"/>
      <c r="D71">
        <v>1</v>
      </c>
      <c r="E71" s="59"/>
      <c r="F71">
        <v>0</v>
      </c>
      <c r="G71" t="s">
        <v>314</v>
      </c>
    </row>
    <row r="72" spans="1:7" x14ac:dyDescent="0.3">
      <c r="A72">
        <v>2</v>
      </c>
      <c r="B72" t="s">
        <v>120</v>
      </c>
      <c r="D72">
        <v>2</v>
      </c>
      <c r="E72" t="s">
        <v>0</v>
      </c>
      <c r="F72">
        <v>1</v>
      </c>
      <c r="G72" t="s">
        <v>4</v>
      </c>
    </row>
    <row r="73" spans="1:7" x14ac:dyDescent="0.3">
      <c r="A73">
        <v>3</v>
      </c>
      <c r="B73" t="s">
        <v>223</v>
      </c>
      <c r="D73">
        <v>3</v>
      </c>
      <c r="E73" t="s">
        <v>3</v>
      </c>
      <c r="F73">
        <v>2</v>
      </c>
      <c r="G73" t="s">
        <v>5</v>
      </c>
    </row>
    <row r="74" spans="1:7" x14ac:dyDescent="0.3">
      <c r="A74">
        <v>4</v>
      </c>
      <c r="B74" t="s">
        <v>227</v>
      </c>
      <c r="D74">
        <v>4</v>
      </c>
      <c r="E74" t="s">
        <v>236</v>
      </c>
      <c r="F74">
        <v>3</v>
      </c>
      <c r="G74" t="s">
        <v>292</v>
      </c>
    </row>
    <row r="75" spans="1:7" ht="18" x14ac:dyDescent="0.4">
      <c r="A75">
        <v>5</v>
      </c>
      <c r="B75" t="s">
        <v>230</v>
      </c>
      <c r="D75">
        <v>5</v>
      </c>
      <c r="E75" t="s">
        <v>237</v>
      </c>
      <c r="F75">
        <v>4</v>
      </c>
      <c r="G75" t="s">
        <v>6</v>
      </c>
    </row>
    <row r="76" spans="1:7" ht="18" x14ac:dyDescent="0.4">
      <c r="A76">
        <v>6</v>
      </c>
      <c r="B76" t="s">
        <v>231</v>
      </c>
      <c r="D76">
        <v>6</v>
      </c>
      <c r="E76" t="s">
        <v>238</v>
      </c>
      <c r="F76">
        <v>5</v>
      </c>
      <c r="G76" t="s">
        <v>293</v>
      </c>
    </row>
    <row r="77" spans="1:7" ht="18" x14ac:dyDescent="0.4">
      <c r="A77">
        <v>7</v>
      </c>
      <c r="B77" t="s">
        <v>228</v>
      </c>
      <c r="D77">
        <v>7</v>
      </c>
      <c r="E77" t="s">
        <v>239</v>
      </c>
      <c r="F77">
        <v>6</v>
      </c>
      <c r="G77" t="s">
        <v>294</v>
      </c>
    </row>
    <row r="78" spans="1:7" ht="18" x14ac:dyDescent="0.4">
      <c r="A78">
        <v>8</v>
      </c>
      <c r="B78" t="s">
        <v>226</v>
      </c>
      <c r="D78">
        <v>8</v>
      </c>
      <c r="E78" t="s">
        <v>240</v>
      </c>
      <c r="F78">
        <v>7</v>
      </c>
      <c r="G78" t="s">
        <v>295</v>
      </c>
    </row>
    <row r="79" spans="1:7" x14ac:dyDescent="0.3">
      <c r="A79">
        <v>9</v>
      </c>
      <c r="B79" t="s">
        <v>224</v>
      </c>
    </row>
    <row r="80" spans="1:7" x14ac:dyDescent="0.3">
      <c r="A80">
        <v>10</v>
      </c>
      <c r="B80" t="s">
        <v>229</v>
      </c>
    </row>
    <row r="81" spans="1:7" x14ac:dyDescent="0.3">
      <c r="A81">
        <v>11</v>
      </c>
      <c r="B81" t="s">
        <v>225</v>
      </c>
    </row>
    <row r="82" spans="1:7" x14ac:dyDescent="0.3">
      <c r="A82">
        <v>12</v>
      </c>
      <c r="B82" t="s">
        <v>222</v>
      </c>
    </row>
    <row r="83" spans="1:7" x14ac:dyDescent="0.3">
      <c r="A83">
        <v>13</v>
      </c>
      <c r="B83" t="s">
        <v>462</v>
      </c>
    </row>
    <row r="84" spans="1:7" x14ac:dyDescent="0.3">
      <c r="A84">
        <v>14</v>
      </c>
      <c r="B84" t="s">
        <v>463</v>
      </c>
    </row>
    <row r="87" spans="1:7" ht="33.6" x14ac:dyDescent="0.65">
      <c r="A87" s="60" t="s">
        <v>323</v>
      </c>
      <c r="B87" s="59" t="s">
        <v>324</v>
      </c>
      <c r="C87" s="97"/>
      <c r="D87" s="60" t="s">
        <v>333</v>
      </c>
      <c r="E87" s="59" t="s">
        <v>16</v>
      </c>
      <c r="F87" s="60"/>
      <c r="G87" s="59"/>
    </row>
    <row r="88" spans="1:7" x14ac:dyDescent="0.3">
      <c r="A88">
        <v>1</v>
      </c>
      <c r="D88">
        <v>1</v>
      </c>
    </row>
    <row r="89" spans="1:7" x14ac:dyDescent="0.3">
      <c r="A89">
        <v>2</v>
      </c>
      <c r="B89" t="s">
        <v>341</v>
      </c>
      <c r="C89" t="s">
        <v>325</v>
      </c>
      <c r="D89">
        <v>2</v>
      </c>
      <c r="E89" t="s">
        <v>334</v>
      </c>
    </row>
    <row r="90" spans="1:7" x14ac:dyDescent="0.3">
      <c r="A90">
        <v>3</v>
      </c>
      <c r="B90" t="s">
        <v>342</v>
      </c>
      <c r="C90" t="s">
        <v>326</v>
      </c>
      <c r="D90">
        <v>3</v>
      </c>
      <c r="E90" t="s">
        <v>232</v>
      </c>
    </row>
    <row r="91" spans="1:7" x14ac:dyDescent="0.3">
      <c r="A91">
        <v>4</v>
      </c>
      <c r="B91" t="s">
        <v>343</v>
      </c>
      <c r="C91" t="s">
        <v>327</v>
      </c>
    </row>
    <row r="92" spans="1:7" x14ac:dyDescent="0.3">
      <c r="A92">
        <v>5</v>
      </c>
      <c r="B92" t="s">
        <v>322</v>
      </c>
      <c r="C92" t="s">
        <v>328</v>
      </c>
    </row>
  </sheetData>
  <sortState xmlns:xlrd2="http://schemas.microsoft.com/office/spreadsheetml/2017/richdata2" ref="B72:B82">
    <sortCondition ref="B72:B82"/>
  </sortState>
  <hyperlinks>
    <hyperlink ref="G37" r:id="rId1" xr:uid="{192922E1-71B2-497E-9BF2-DEFAFFF085CF}"/>
    <hyperlink ref="C45" r:id="rId2" location="/publicregister " xr:uid="{B2C47418-33D1-4B9A-94FC-225FCDE981A6}"/>
    <hyperlink ref="D6" r:id="rId3" xr:uid="{01D023D2-FF3D-4BFB-8A2D-E66AB1CC4DE8}"/>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2</vt:i4>
      </vt:variant>
    </vt:vector>
  </HeadingPairs>
  <TitlesOfParts>
    <vt:vector size="10" baseType="lpstr">
      <vt:lpstr>Gesuch</vt:lpstr>
      <vt:lpstr>Prüfer</vt:lpstr>
      <vt:lpstr>Ablehnung</vt:lpstr>
      <vt:lpstr>Sistierung</vt:lpstr>
      <vt:lpstr>Gutsprache</vt:lpstr>
      <vt:lpstr>Ausstände</vt:lpstr>
      <vt:lpstr>Datensatz</vt:lpstr>
      <vt:lpstr>Referenzen</vt:lpstr>
      <vt:lpstr>Gesuch!Druckbereich</vt:lpstr>
      <vt:lpstr>Prüfer!Druckbereich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Grieder, Nicolas</dc:creator>
  <cp:lastModifiedBy>Thomas Lötscher</cp:lastModifiedBy>
  <cp:lastPrinted>2026-02-24T16:20:16Z</cp:lastPrinted>
  <dcterms:created xsi:type="dcterms:W3CDTF">2023-10-04T14:34:47Z</dcterms:created>
  <dcterms:modified xsi:type="dcterms:W3CDTF">2026-02-26T12:15:49Z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f6c350c-d04c-42cf-a2dc-28029b354aa8_Enabled">
    <vt:lpwstr>true</vt:lpwstr>
  </property>
  <property fmtid="{D5CDD505-2E9C-101B-9397-08002B2CF9AE}" pid="3" name="MSIP_Label_5f6c350c-d04c-42cf-a2dc-28029b354aa8_SetDate">
    <vt:lpwstr>2025-01-07T08:16:51Z</vt:lpwstr>
  </property>
  <property fmtid="{D5CDD505-2E9C-101B-9397-08002B2CF9AE}" pid="4" name="MSIP_Label_5f6c350c-d04c-42cf-a2dc-28029b354aa8_Method">
    <vt:lpwstr>Standard</vt:lpwstr>
  </property>
  <property fmtid="{D5CDD505-2E9C-101B-9397-08002B2CF9AE}" pid="5" name="MSIP_Label_5f6c350c-d04c-42cf-a2dc-28029b354aa8_Name">
    <vt:lpwstr>KTZG_Intern</vt:lpwstr>
  </property>
  <property fmtid="{D5CDD505-2E9C-101B-9397-08002B2CF9AE}" pid="6" name="MSIP_Label_5f6c350c-d04c-42cf-a2dc-28029b354aa8_SiteId">
    <vt:lpwstr>7b979bcc-f4f4-4d20-8c59-e9b7a9406038</vt:lpwstr>
  </property>
  <property fmtid="{D5CDD505-2E9C-101B-9397-08002B2CF9AE}" pid="7" name="MSIP_Label_5f6c350c-d04c-42cf-a2dc-28029b354aa8_ActionId">
    <vt:lpwstr>ea8f312d-bce4-4f9a-96ae-a0e8d05100cb</vt:lpwstr>
  </property>
  <property fmtid="{D5CDD505-2E9C-101B-9397-08002B2CF9AE}" pid="8" name="MSIP_Label_5f6c350c-d04c-42cf-a2dc-28029b354aa8_ContentBits">
    <vt:lpwstr>0</vt:lpwstr>
  </property>
</Properties>
</file>